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94FF2354-CA00-4470-AF3E-6C69E7355D84}" xr6:coauthVersionLast="47" xr6:coauthVersionMax="47" xr10:uidLastSave="{00000000-0000-0000-0000-000000000000}"/>
  <bookViews>
    <workbookView xWindow="-110" yWindow="-110" windowWidth="19420" windowHeight="11500" xr2:uid="{00000000-000D-0000-FFFF-FFFF00000000}"/>
  </bookViews>
  <sheets>
    <sheet name="試算表" sheetId="5" r:id="rId1"/>
    <sheet name="さいたま市" sheetId="3" state="hidden" r:id="rId2"/>
    <sheet name="武蔵野市" sheetId="4" state="hidden" r:id="rId3"/>
  </sheets>
  <definedNames>
    <definedName name="AGE_0">武蔵野市!$BX$1</definedName>
    <definedName name="AGE_1">武蔵野市!$BX$2</definedName>
    <definedName name="AGE_2">武蔵野市!$BX$3</definedName>
    <definedName name="AGE_3">武蔵野市!$BX$4</definedName>
    <definedName name="GND">武蔵野市!$BX$36</definedName>
    <definedName name="IR_BYO">武蔵野市!$BX$30</definedName>
    <definedName name="IR_GND">武蔵野市!$BX$33</definedName>
    <definedName name="IR_KIN">武蔵野市!$BX$24</definedName>
    <definedName name="IR_SAN">武蔵野市!$BX$27</definedName>
    <definedName name="IR_SYT">武蔵野市!$BX$21</definedName>
    <definedName name="KANYU">武蔵野市!$B$4</definedName>
    <definedName name="KG_BYO">武蔵野市!$BX$32</definedName>
    <definedName name="KG_GND">武蔵野市!$BX$35</definedName>
    <definedName name="KG_KIN">武蔵野市!$BX$26</definedName>
    <definedName name="KG_SAN">武蔵野市!$BX$29</definedName>
    <definedName name="KG_SYT">武蔵野市!$BX$23</definedName>
    <definedName name="KGN">武蔵野市!$BL$21</definedName>
    <definedName name="KISO_0">武蔵野市!$CA$32</definedName>
    <definedName name="KISO_1">武蔵野市!$CA$33</definedName>
    <definedName name="KISO_2">武蔵野市!$CA$34</definedName>
    <definedName name="KISO_3">武蔵野市!$CA$35</definedName>
    <definedName name="KJ_0">武蔵野市!$CC$7</definedName>
    <definedName name="KJ_1">武蔵野市!$CC$8</definedName>
    <definedName name="KJ_10">武蔵野市!$CC$17</definedName>
    <definedName name="KJ_2">武蔵野市!$CC$9</definedName>
    <definedName name="KJ_3">武蔵野市!$CC$10</definedName>
    <definedName name="KJ_4">武蔵野市!$CC$11</definedName>
    <definedName name="KJ_5">武蔵野市!$CC$12</definedName>
    <definedName name="KJ_6">武蔵野市!$CC$13</definedName>
    <definedName name="KJ_7">武蔵野市!$CC$14</definedName>
    <definedName name="KJ_8">武蔵野市!$CC$15</definedName>
    <definedName name="KJ_9">武蔵野市!$CC$16</definedName>
    <definedName name="KR_6">武蔵野市!$CB$13</definedName>
    <definedName name="KR_7">武蔵野市!$CB$14</definedName>
    <definedName name="KR_8">武蔵野市!$CB$15</definedName>
    <definedName name="KR_9">武蔵野市!$CB$16</definedName>
    <definedName name="KS_0">武蔵野市!$CA$7</definedName>
    <definedName name="KS_1">武蔵野市!$CA$8</definedName>
    <definedName name="KS_10">武蔵野市!$CA$17</definedName>
    <definedName name="KS_2">武蔵野市!$CA$9</definedName>
    <definedName name="KS_3">武蔵野市!$CA$10</definedName>
    <definedName name="KS_4">武蔵野市!$CA$11</definedName>
    <definedName name="KS_5">武蔵野市!$CA$12</definedName>
    <definedName name="KS_6">武蔵野市!$CA$13</definedName>
    <definedName name="KS_7">武蔵野市!$CA$14</definedName>
    <definedName name="KS_8">武蔵野市!$CA$15</definedName>
    <definedName name="KS_9">武蔵野市!$CA$16</definedName>
    <definedName name="KS_KJ_0">武蔵野市!$CC$32</definedName>
    <definedName name="KS_KJ_1">武蔵野市!$CC$33</definedName>
    <definedName name="KS_KJ_2">武蔵野市!$CC$34</definedName>
    <definedName name="KS_KJ_3">武蔵野市!$CC$35</definedName>
    <definedName name="NK_64_0">武蔵野市!$CC$20</definedName>
    <definedName name="NK_64_1">武蔵野市!$CC$21</definedName>
    <definedName name="NK_64_2">武蔵野市!$CC$22</definedName>
    <definedName name="NK_64_3">武蔵野市!$CC$23</definedName>
    <definedName name="NK_64_4">武蔵野市!$CC$24</definedName>
    <definedName name="NK_65_0">武蔵野市!$CC$25</definedName>
    <definedName name="NK_65_1">武蔵野市!$CC$26</definedName>
    <definedName name="NK_65_2">武蔵野市!$CC$27</definedName>
    <definedName name="NK_65_3">武蔵野市!$CC$28</definedName>
    <definedName name="NK_65_4">武蔵野市!$CC$29</definedName>
    <definedName name="NR_64_1">武蔵野市!$CB$21</definedName>
    <definedName name="NR_64_2">武蔵野市!$CB$22</definedName>
    <definedName name="NR_64_3">武蔵野市!$CB$23</definedName>
    <definedName name="NR_65_1">武蔵野市!$CB$26</definedName>
    <definedName name="NR_65_2">武蔵野市!$CB$27</definedName>
    <definedName name="NR_65_3">武蔵野市!$CB$28</definedName>
    <definedName name="NS_64_0">武蔵野市!$CA$20</definedName>
    <definedName name="NS_64_1">武蔵野市!$CA$21</definedName>
    <definedName name="NS_64_2">武蔵野市!$CA$22</definedName>
    <definedName name="NS_64_3">武蔵野市!$CA$23</definedName>
    <definedName name="NS_64_4">武蔵野市!$CA$24</definedName>
    <definedName name="NS_65_0">武蔵野市!$CA$25</definedName>
    <definedName name="NS_65_1">武蔵野市!$CA$26</definedName>
    <definedName name="NS_65_2">武蔵野市!$CA$27</definedName>
    <definedName name="NS_65_3">武蔵野市!$CA$28</definedName>
    <definedName name="NS_65_4">武蔵野市!$CA$29</definedName>
    <definedName name="_xlnm.Print_Area" localSheetId="1">さいたま市!$A$1:$BC$69</definedName>
    <definedName name="_xlnm.Print_Area" localSheetId="0">試算表!$A$1:$BC$54</definedName>
    <definedName name="_xlnm.Print_Area" localSheetId="2">武蔵野市!$A$1:$BE$36</definedName>
    <definedName name="SI_BYO">武蔵野市!$BX$31</definedName>
    <definedName name="SI_GND">武蔵野市!$BX$34</definedName>
    <definedName name="SI_KIN">武蔵野市!$BX$25</definedName>
    <definedName name="SI_SAN">武蔵野市!$BX$28</definedName>
    <definedName name="SI_SYT">武蔵野市!$BX$22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F20" i="5" l="1"/>
  <c r="CD20" i="5"/>
  <c r="CA20" i="5"/>
  <c r="BX20" i="5"/>
  <c r="CC22" i="5"/>
  <c r="CC23" i="5"/>
  <c r="CC24" i="5"/>
  <c r="CC25" i="5"/>
  <c r="CC26" i="5"/>
  <c r="CC27" i="5"/>
  <c r="BX43" i="5"/>
  <c r="BN20" i="5"/>
  <c r="BX59" i="5"/>
  <c r="BX44" i="5"/>
  <c r="BX45" i="5" l="1"/>
  <c r="BQ20" i="5"/>
  <c r="BX42" i="5"/>
  <c r="CD27" i="5"/>
  <c r="BU20" i="5"/>
  <c r="BX57" i="5" l="1"/>
  <c r="BH20" i="5" s="1"/>
  <c r="CF22" i="5"/>
  <c r="CF23" i="5"/>
  <c r="CF24" i="5"/>
  <c r="CF25" i="5"/>
  <c r="CF26" i="5"/>
  <c r="CF27" i="5"/>
  <c r="CF21" i="5"/>
  <c r="CD21" i="5"/>
  <c r="CD22" i="5"/>
  <c r="CD23" i="5"/>
  <c r="CD24" i="5"/>
  <c r="CD25" i="5"/>
  <c r="CD26" i="5"/>
  <c r="CA22" i="5"/>
  <c r="CA23" i="5"/>
  <c r="CA24" i="5"/>
  <c r="CA25" i="5"/>
  <c r="CA26" i="5"/>
  <c r="CA27" i="5"/>
  <c r="CA21" i="5"/>
  <c r="BX22" i="5"/>
  <c r="BX23" i="5"/>
  <c r="BX24" i="5"/>
  <c r="BX25" i="5"/>
  <c r="BX26" i="5"/>
  <c r="BX27" i="5"/>
  <c r="BX21" i="5"/>
  <c r="BU22" i="5"/>
  <c r="BU23" i="5"/>
  <c r="BU24" i="5"/>
  <c r="BU25" i="5"/>
  <c r="BU26" i="5"/>
  <c r="BU27" i="5"/>
  <c r="BU21" i="5"/>
  <c r="BX41" i="5"/>
  <c r="BY41" i="5"/>
  <c r="BZ41" i="5"/>
  <c r="BO22" i="5" s="1"/>
  <c r="BP22" i="5" s="1"/>
  <c r="CA41" i="5"/>
  <c r="BO23" i="5" s="1"/>
  <c r="BP23" i="5" s="1"/>
  <c r="CB41" i="5"/>
  <c r="BO24" i="5" s="1"/>
  <c r="BP24" i="5" s="1"/>
  <c r="CC41" i="5"/>
  <c r="BO25" i="5" s="1"/>
  <c r="BP25" i="5" s="1"/>
  <c r="CD41" i="5"/>
  <c r="CE41" i="5"/>
  <c r="BO27" i="5" s="1"/>
  <c r="BP27" i="5" s="1"/>
  <c r="BY42" i="5"/>
  <c r="BZ42" i="5"/>
  <c r="CA42" i="5"/>
  <c r="CB42" i="5"/>
  <c r="CC42" i="5"/>
  <c r="CD42" i="5"/>
  <c r="CE42" i="5"/>
  <c r="BY43" i="5"/>
  <c r="BZ43" i="5"/>
  <c r="CA43" i="5"/>
  <c r="CB43" i="5"/>
  <c r="CC43" i="5"/>
  <c r="CD43" i="5"/>
  <c r="CE43" i="5"/>
  <c r="BY44" i="5"/>
  <c r="BZ44" i="5"/>
  <c r="CA44" i="5"/>
  <c r="CB44" i="5"/>
  <c r="CC44" i="5"/>
  <c r="CD44" i="5"/>
  <c r="CE44" i="5"/>
  <c r="BY45" i="5"/>
  <c r="BZ45" i="5"/>
  <c r="CA45" i="5"/>
  <c r="CB45" i="5"/>
  <c r="CC45" i="5"/>
  <c r="CD45" i="5"/>
  <c r="CE45" i="5"/>
  <c r="BX46" i="5"/>
  <c r="BO20" i="5" s="1"/>
  <c r="BP20" i="5" s="1"/>
  <c r="BY46" i="5"/>
  <c r="BZ46" i="5"/>
  <c r="CA46" i="5"/>
  <c r="CB46" i="5"/>
  <c r="CC46" i="5"/>
  <c r="CD46" i="5"/>
  <c r="CE46" i="5"/>
  <c r="CE69" i="5"/>
  <c r="CD69" i="5"/>
  <c r="CC69" i="5"/>
  <c r="CB69" i="5"/>
  <c r="CA69" i="5"/>
  <c r="BZ69" i="5"/>
  <c r="BY69" i="5"/>
  <c r="BX69" i="5"/>
  <c r="CE68" i="5"/>
  <c r="CD68" i="5"/>
  <c r="CC68" i="5"/>
  <c r="CB68" i="5"/>
  <c r="CA68" i="5"/>
  <c r="BZ68" i="5"/>
  <c r="BY68" i="5"/>
  <c r="BX68" i="5"/>
  <c r="CE67" i="5"/>
  <c r="CD67" i="5"/>
  <c r="CC67" i="5"/>
  <c r="CB67" i="5"/>
  <c r="CA67" i="5"/>
  <c r="BZ67" i="5"/>
  <c r="BY67" i="5"/>
  <c r="BX67" i="5"/>
  <c r="CE66" i="5"/>
  <c r="CD66" i="5"/>
  <c r="CC66" i="5"/>
  <c r="CB66" i="5"/>
  <c r="CA66" i="5"/>
  <c r="BZ66" i="5"/>
  <c r="BY66" i="5"/>
  <c r="BX66" i="5"/>
  <c r="CE65" i="5"/>
  <c r="CD65" i="5"/>
  <c r="CC65" i="5"/>
  <c r="CB65" i="5"/>
  <c r="CA65" i="5"/>
  <c r="BZ65" i="5"/>
  <c r="BY65" i="5"/>
  <c r="BX65" i="5"/>
  <c r="CE62" i="5"/>
  <c r="CD62" i="5"/>
  <c r="CC62" i="5"/>
  <c r="CB62" i="5"/>
  <c r="CA62" i="5"/>
  <c r="BZ62" i="5"/>
  <c r="BY62" i="5"/>
  <c r="BX62" i="5"/>
  <c r="CE61" i="5"/>
  <c r="CD61" i="5"/>
  <c r="CC61" i="5"/>
  <c r="CB61" i="5"/>
  <c r="CA61" i="5"/>
  <c r="BZ61" i="5"/>
  <c r="BY61" i="5"/>
  <c r="BX61" i="5"/>
  <c r="CE60" i="5"/>
  <c r="CD60" i="5"/>
  <c r="CC60" i="5"/>
  <c r="CB60" i="5"/>
  <c r="CA60" i="5"/>
  <c r="BZ60" i="5"/>
  <c r="BY60" i="5"/>
  <c r="BX60" i="5"/>
  <c r="CE59" i="5"/>
  <c r="CD59" i="5"/>
  <c r="CC59" i="5"/>
  <c r="CB59" i="5"/>
  <c r="CA59" i="5"/>
  <c r="BZ59" i="5"/>
  <c r="BY59" i="5"/>
  <c r="CE57" i="5"/>
  <c r="BH27" i="5" s="1"/>
  <c r="CD57" i="5"/>
  <c r="BH26" i="5" s="1"/>
  <c r="CC57" i="5"/>
  <c r="BH25" i="5" s="1"/>
  <c r="CB57" i="5"/>
  <c r="BH24" i="5" s="1"/>
  <c r="CA57" i="5"/>
  <c r="BH23" i="5" s="1"/>
  <c r="BZ57" i="5"/>
  <c r="BH22" i="5" s="1"/>
  <c r="BY57" i="5"/>
  <c r="BQ27" i="5"/>
  <c r="BN27" i="5"/>
  <c r="BL27" i="5"/>
  <c r="BK27" i="5"/>
  <c r="BQ26" i="5"/>
  <c r="BN26" i="5"/>
  <c r="BL26" i="5"/>
  <c r="BK26" i="5"/>
  <c r="BQ25" i="5"/>
  <c r="BN25" i="5"/>
  <c r="BL25" i="5"/>
  <c r="BK25" i="5"/>
  <c r="BQ24" i="5"/>
  <c r="BN24" i="5"/>
  <c r="BL24" i="5"/>
  <c r="BK24" i="5"/>
  <c r="BQ23" i="5"/>
  <c r="BN23" i="5"/>
  <c r="BL23" i="5"/>
  <c r="BK23" i="5"/>
  <c r="BQ22" i="5"/>
  <c r="BN22" i="5"/>
  <c r="BL22" i="5"/>
  <c r="BK22" i="5"/>
  <c r="BQ21" i="5"/>
  <c r="BN21" i="5"/>
  <c r="BL21" i="5"/>
  <c r="BK21" i="5"/>
  <c r="BL20" i="5"/>
  <c r="BK20" i="5"/>
  <c r="BO26" i="5"/>
  <c r="BP26" i="5" s="1"/>
  <c r="BX36" i="4"/>
  <c r="B34" i="4" s="1"/>
  <c r="V32" i="4"/>
  <c r="Q32" i="4"/>
  <c r="L32" i="4"/>
  <c r="V31" i="4"/>
  <c r="Q31" i="4"/>
  <c r="L31" i="4"/>
  <c r="V30" i="4"/>
  <c r="Q30" i="4"/>
  <c r="L30" i="4"/>
  <c r="V29" i="4"/>
  <c r="Q29" i="4"/>
  <c r="L29" i="4"/>
  <c r="V28" i="4"/>
  <c r="Q28" i="4"/>
  <c r="L28" i="4"/>
  <c r="V27" i="4"/>
  <c r="Q27" i="4"/>
  <c r="L27" i="4"/>
  <c r="R21" i="4"/>
  <c r="BV15" i="4"/>
  <c r="BT15" i="4"/>
  <c r="BR15" i="4"/>
  <c r="BQ15" i="4"/>
  <c r="BP15" i="4"/>
  <c r="BO15" i="4"/>
  <c r="BN15" i="4"/>
  <c r="BM15" i="4"/>
  <c r="BL15" i="4"/>
  <c r="BH15" i="4"/>
  <c r="BI15" i="4" s="1"/>
  <c r="BG15" i="4"/>
  <c r="BE15" i="4"/>
  <c r="BD15" i="4"/>
  <c r="BF15" i="4" s="1"/>
  <c r="AK15" i="4"/>
  <c r="BV14" i="4"/>
  <c r="BT14" i="4"/>
  <c r="BR14" i="4"/>
  <c r="BQ14" i="4"/>
  <c r="BP14" i="4"/>
  <c r="BO14" i="4"/>
  <c r="BN14" i="4"/>
  <c r="BM14" i="4"/>
  <c r="BL14" i="4"/>
  <c r="BH14" i="4"/>
  <c r="BJ14" i="4" s="1"/>
  <c r="BG14" i="4"/>
  <c r="BE14" i="4"/>
  <c r="BD14" i="4"/>
  <c r="BF14" i="4" s="1"/>
  <c r="AK14" i="4"/>
  <c r="BV13" i="4"/>
  <c r="BT13" i="4"/>
  <c r="BR13" i="4"/>
  <c r="BQ13" i="4"/>
  <c r="BP13" i="4"/>
  <c r="BO13" i="4"/>
  <c r="BN13" i="4"/>
  <c r="BM13" i="4"/>
  <c r="BL13" i="4"/>
  <c r="BH13" i="4"/>
  <c r="BJ13" i="4" s="1"/>
  <c r="BG13" i="4"/>
  <c r="BE13" i="4"/>
  <c r="BD13" i="4"/>
  <c r="AK13" i="4"/>
  <c r="BV12" i="4"/>
  <c r="BT12" i="4"/>
  <c r="BR12" i="4"/>
  <c r="BQ12" i="4"/>
  <c r="BP12" i="4"/>
  <c r="BO12" i="4"/>
  <c r="BN12" i="4"/>
  <c r="BM12" i="4"/>
  <c r="BL12" i="4"/>
  <c r="BH12" i="4"/>
  <c r="BJ12" i="4" s="1"/>
  <c r="BG12" i="4"/>
  <c r="BE12" i="4"/>
  <c r="BD12" i="4"/>
  <c r="BF12" i="4" s="1"/>
  <c r="AK12" i="4"/>
  <c r="BV11" i="4"/>
  <c r="BT11" i="4"/>
  <c r="BR11" i="4"/>
  <c r="BQ11" i="4"/>
  <c r="BP11" i="4"/>
  <c r="BO11" i="4"/>
  <c r="BN11" i="4"/>
  <c r="BM11" i="4"/>
  <c r="BL11" i="4"/>
  <c r="BH11" i="4"/>
  <c r="BI11" i="4" s="1"/>
  <c r="BG11" i="4"/>
  <c r="BE11" i="4"/>
  <c r="BD11" i="4"/>
  <c r="BF11" i="4" s="1"/>
  <c r="AK11" i="4"/>
  <c r="BV10" i="4"/>
  <c r="BT10" i="4"/>
  <c r="BR10" i="4"/>
  <c r="BQ10" i="4"/>
  <c r="BP10" i="4"/>
  <c r="BO10" i="4"/>
  <c r="BN10" i="4"/>
  <c r="BM10" i="4"/>
  <c r="BL10" i="4"/>
  <c r="BH10" i="4"/>
  <c r="BJ10" i="4" s="1"/>
  <c r="BG10" i="4"/>
  <c r="BE10" i="4"/>
  <c r="BD10" i="4"/>
  <c r="AK10" i="4"/>
  <c r="BV9" i="4"/>
  <c r="BT9" i="4"/>
  <c r="BR9" i="4"/>
  <c r="BQ9" i="4"/>
  <c r="BP9" i="4"/>
  <c r="BO9" i="4"/>
  <c r="BN9" i="4"/>
  <c r="BM9" i="4"/>
  <c r="BL9" i="4"/>
  <c r="BH9" i="4"/>
  <c r="BI9" i="4" s="1"/>
  <c r="BG9" i="4"/>
  <c r="BE9" i="4"/>
  <c r="BD9" i="4"/>
  <c r="BF9" i="4" s="1"/>
  <c r="AK9" i="4"/>
  <c r="BV8" i="4"/>
  <c r="BT8" i="4"/>
  <c r="BR8" i="4"/>
  <c r="BQ8" i="4"/>
  <c r="BP8" i="4"/>
  <c r="BO8" i="4"/>
  <c r="BN8" i="4"/>
  <c r="BM8" i="4"/>
  <c r="BL8" i="4"/>
  <c r="BH8" i="4"/>
  <c r="BI8" i="4" s="1"/>
  <c r="BG8" i="4"/>
  <c r="BE8" i="4"/>
  <c r="BF8" i="4" s="1"/>
  <c r="BD8" i="4"/>
  <c r="AK8" i="4"/>
  <c r="BM20" i="5" l="1"/>
  <c r="BH21" i="5"/>
  <c r="CD31" i="5"/>
  <c r="BX31" i="5"/>
  <c r="BN37" i="5" s="1"/>
  <c r="CF31" i="5"/>
  <c r="BS16" i="4"/>
  <c r="BW16" i="4"/>
  <c r="BO21" i="5"/>
  <c r="BP21" i="5" s="1"/>
  <c r="BL18" i="4"/>
  <c r="BL21" i="4" s="1"/>
  <c r="BL23" i="4" s="1"/>
  <c r="BU16" i="4"/>
  <c r="BF10" i="4"/>
  <c r="BM27" i="5"/>
  <c r="BM21" i="5"/>
  <c r="BM24" i="5"/>
  <c r="BN31" i="5"/>
  <c r="BM22" i="5"/>
  <c r="BM23" i="5"/>
  <c r="BM26" i="5"/>
  <c r="BM25" i="5"/>
  <c r="BR24" i="5"/>
  <c r="BG24" i="5" s="1"/>
  <c r="BI24" i="5" s="1"/>
  <c r="BR22" i="5"/>
  <c r="BG22" i="5" s="1"/>
  <c r="BI22" i="5" s="1"/>
  <c r="BR26" i="5"/>
  <c r="BG26" i="5" s="1"/>
  <c r="BI26" i="5" s="1"/>
  <c r="BR25" i="5"/>
  <c r="BG25" i="5" s="1"/>
  <c r="BI25" i="5" s="1"/>
  <c r="BR23" i="5"/>
  <c r="BG23" i="5" s="1"/>
  <c r="BI23" i="5" s="1"/>
  <c r="BR27" i="5"/>
  <c r="BG27" i="5" s="1"/>
  <c r="BI27" i="5" s="1"/>
  <c r="BJ11" i="4"/>
  <c r="AE11" i="4" s="1"/>
  <c r="AQ11" i="4" s="1"/>
  <c r="BI12" i="4"/>
  <c r="AE12" i="4" s="1"/>
  <c r="AQ12" i="4" s="1"/>
  <c r="BF13" i="4"/>
  <c r="BI13" i="4"/>
  <c r="AE13" i="4" s="1"/>
  <c r="AQ13" i="4" s="1"/>
  <c r="AW13" i="4" s="1"/>
  <c r="BJ15" i="4"/>
  <c r="AE15" i="4" s="1"/>
  <c r="AQ15" i="4" s="1"/>
  <c r="BU31" i="5"/>
  <c r="BM37" i="5" s="1"/>
  <c r="CA31" i="5"/>
  <c r="BO37" i="5" s="1"/>
  <c r="BK12" i="4"/>
  <c r="AW12" i="4"/>
  <c r="BM18" i="4"/>
  <c r="BL20" i="4"/>
  <c r="BM20" i="4"/>
  <c r="BJ8" i="4"/>
  <c r="AE8" i="4" s="1"/>
  <c r="AQ8" i="4" s="1"/>
  <c r="BJ9" i="4"/>
  <c r="AE9" i="4" s="1"/>
  <c r="AQ9" i="4" s="1"/>
  <c r="BI10" i="4"/>
  <c r="AE10" i="4" s="1"/>
  <c r="AQ10" i="4" s="1"/>
  <c r="BI14" i="4"/>
  <c r="AE14" i="4" s="1"/>
  <c r="AQ14" i="4" s="1"/>
  <c r="BN20" i="4"/>
  <c r="BP37" i="5" l="1"/>
  <c r="BR21" i="5"/>
  <c r="BG21" i="5" s="1"/>
  <c r="BI21" i="5" s="1"/>
  <c r="BS21" i="5" s="1"/>
  <c r="BR20" i="5"/>
  <c r="BG20" i="5" s="1"/>
  <c r="BI20" i="5" s="1"/>
  <c r="BJ20" i="5" s="1"/>
  <c r="CC20" i="5" s="1"/>
  <c r="R23" i="4"/>
  <c r="AW11" i="4"/>
  <c r="BK11" i="4"/>
  <c r="BM31" i="5"/>
  <c r="BT34" i="5" s="1"/>
  <c r="BK15" i="4"/>
  <c r="AW15" i="4"/>
  <c r="BS25" i="5"/>
  <c r="BJ25" i="5"/>
  <c r="BZ25" i="5" s="1"/>
  <c r="BJ26" i="5"/>
  <c r="BZ26" i="5" s="1"/>
  <c r="BS26" i="5"/>
  <c r="BS27" i="5"/>
  <c r="BJ27" i="5"/>
  <c r="BZ27" i="5" s="1"/>
  <c r="BK13" i="4"/>
  <c r="BS24" i="5"/>
  <c r="BJ24" i="5"/>
  <c r="BZ24" i="5" s="1"/>
  <c r="BS23" i="5"/>
  <c r="BJ23" i="5"/>
  <c r="BZ23" i="5" s="1"/>
  <c r="BJ22" i="5"/>
  <c r="BZ22" i="5" s="1"/>
  <c r="BS22" i="5"/>
  <c r="BK9" i="4"/>
  <c r="AW9" i="4"/>
  <c r="BK8" i="4"/>
  <c r="AW8" i="4"/>
  <c r="BK14" i="4"/>
  <c r="AW14" i="4"/>
  <c r="BK10" i="4"/>
  <c r="AW10" i="4"/>
  <c r="BS20" i="5" l="1"/>
  <c r="BS31" i="5" s="1"/>
  <c r="BJ21" i="5"/>
  <c r="BW26" i="5"/>
  <c r="BT26" i="5"/>
  <c r="BW25" i="5"/>
  <c r="BT25" i="5"/>
  <c r="BT24" i="5"/>
  <c r="BW24" i="5"/>
  <c r="BW27" i="5"/>
  <c r="BT27" i="5"/>
  <c r="BV34" i="5"/>
  <c r="BU34" i="5"/>
  <c r="BW23" i="5"/>
  <c r="BT23" i="5"/>
  <c r="BT22" i="5"/>
  <c r="BW22" i="5"/>
  <c r="BL22" i="4"/>
  <c r="CD14" i="3"/>
  <c r="BO17" i="3" s="1"/>
  <c r="BP17" i="3" s="1"/>
  <c r="CE14" i="3"/>
  <c r="BO18" i="3" s="1"/>
  <c r="BP18" i="3" s="1"/>
  <c r="CF14" i="3"/>
  <c r="BO19" i="3" s="1"/>
  <c r="BP19" i="3" s="1"/>
  <c r="CG14" i="3"/>
  <c r="CH14" i="3"/>
  <c r="BO21" i="3" s="1"/>
  <c r="BP21" i="3" s="1"/>
  <c r="CI14" i="3"/>
  <c r="BO22" i="3" s="1"/>
  <c r="BP22" i="3" s="1"/>
  <c r="CJ14" i="3"/>
  <c r="BO23" i="3" s="1"/>
  <c r="BP23" i="3" s="1"/>
  <c r="CK14" i="3"/>
  <c r="BO24" i="3" s="1"/>
  <c r="BP24" i="3" s="1"/>
  <c r="BR24" i="3" s="1"/>
  <c r="CD15" i="3"/>
  <c r="CE15" i="3"/>
  <c r="CF15" i="3"/>
  <c r="CG15" i="3"/>
  <c r="CH15" i="3"/>
  <c r="CI15" i="3"/>
  <c r="CJ15" i="3"/>
  <c r="CK15" i="3"/>
  <c r="CD16" i="3"/>
  <c r="CE16" i="3"/>
  <c r="CF16" i="3"/>
  <c r="CG16" i="3"/>
  <c r="CH16" i="3"/>
  <c r="CI16" i="3"/>
  <c r="CJ16" i="3"/>
  <c r="CK16" i="3"/>
  <c r="BK17" i="3"/>
  <c r="BL17" i="3"/>
  <c r="BN17" i="3"/>
  <c r="BQ17" i="3"/>
  <c r="BT17" i="3"/>
  <c r="BU17" i="3"/>
  <c r="BU33" i="3" s="1"/>
  <c r="BV17" i="3"/>
  <c r="BW17" i="3"/>
  <c r="BX17" i="3"/>
  <c r="BY17" i="3"/>
  <c r="CD17" i="3"/>
  <c r="CE17" i="3"/>
  <c r="CF17" i="3"/>
  <c r="CG17" i="3"/>
  <c r="CH17" i="3"/>
  <c r="CI17" i="3"/>
  <c r="CJ17" i="3"/>
  <c r="CK17" i="3"/>
  <c r="BK18" i="3"/>
  <c r="BL18" i="3"/>
  <c r="BN18" i="3"/>
  <c r="BQ18" i="3"/>
  <c r="BT18" i="3"/>
  <c r="BU18" i="3"/>
  <c r="BV18" i="3"/>
  <c r="BW18" i="3"/>
  <c r="BX18" i="3"/>
  <c r="BY18" i="3"/>
  <c r="CD18" i="3"/>
  <c r="CE18" i="3"/>
  <c r="CF18" i="3"/>
  <c r="CG18" i="3"/>
  <c r="CH18" i="3"/>
  <c r="CI18" i="3"/>
  <c r="CJ18" i="3"/>
  <c r="CK18" i="3"/>
  <c r="BK19" i="3"/>
  <c r="BL19" i="3"/>
  <c r="BN19" i="3"/>
  <c r="BQ19" i="3"/>
  <c r="BT19" i="3"/>
  <c r="BU19" i="3"/>
  <c r="BV19" i="3"/>
  <c r="BW19" i="3"/>
  <c r="BX19" i="3"/>
  <c r="BY19" i="3"/>
  <c r="CD19" i="3"/>
  <c r="CE19" i="3"/>
  <c r="CF19" i="3"/>
  <c r="CG19" i="3"/>
  <c r="CH19" i="3"/>
  <c r="CI19" i="3"/>
  <c r="CJ19" i="3"/>
  <c r="CK19" i="3"/>
  <c r="BK20" i="3"/>
  <c r="BL20" i="3"/>
  <c r="BN20" i="3"/>
  <c r="BO20" i="3"/>
  <c r="BP20" i="3" s="1"/>
  <c r="BQ20" i="3"/>
  <c r="BT20" i="3"/>
  <c r="BU20" i="3"/>
  <c r="BV20" i="3"/>
  <c r="BW20" i="3"/>
  <c r="BX20" i="3"/>
  <c r="BY20" i="3"/>
  <c r="CD20" i="3"/>
  <c r="CE20" i="3"/>
  <c r="CF20" i="3"/>
  <c r="CG20" i="3"/>
  <c r="CH20" i="3"/>
  <c r="CI20" i="3"/>
  <c r="CJ20" i="3"/>
  <c r="CK20" i="3"/>
  <c r="BK21" i="3"/>
  <c r="BL21" i="3"/>
  <c r="BN21" i="3"/>
  <c r="BQ21" i="3"/>
  <c r="BT21" i="3"/>
  <c r="BU21" i="3"/>
  <c r="BV21" i="3"/>
  <c r="BW21" i="3"/>
  <c r="BX21" i="3"/>
  <c r="BY21" i="3"/>
  <c r="CD21" i="3"/>
  <c r="CE21" i="3"/>
  <c r="CF21" i="3"/>
  <c r="CG21" i="3"/>
  <c r="CH21" i="3"/>
  <c r="CI21" i="3"/>
  <c r="CJ21" i="3"/>
  <c r="CK21" i="3"/>
  <c r="BK22" i="3"/>
  <c r="BL22" i="3"/>
  <c r="BN22" i="3"/>
  <c r="BQ22" i="3"/>
  <c r="BT22" i="3"/>
  <c r="BU22" i="3"/>
  <c r="BV22" i="3"/>
  <c r="BW22" i="3"/>
  <c r="BX22" i="3"/>
  <c r="BY22" i="3"/>
  <c r="CD22" i="3"/>
  <c r="CE22" i="3"/>
  <c r="CF22" i="3"/>
  <c r="CG22" i="3"/>
  <c r="CH22" i="3"/>
  <c r="CI22" i="3"/>
  <c r="CJ22" i="3"/>
  <c r="CK22" i="3"/>
  <c r="BK23" i="3"/>
  <c r="BL23" i="3"/>
  <c r="BN23" i="3"/>
  <c r="BQ23" i="3"/>
  <c r="BT23" i="3"/>
  <c r="BU23" i="3"/>
  <c r="BV23" i="3"/>
  <c r="BW23" i="3"/>
  <c r="BX23" i="3"/>
  <c r="BY23" i="3"/>
  <c r="CD23" i="3"/>
  <c r="CE23" i="3"/>
  <c r="CF23" i="3"/>
  <c r="CG23" i="3"/>
  <c r="CH23" i="3"/>
  <c r="CI23" i="3"/>
  <c r="CJ23" i="3"/>
  <c r="CK23" i="3"/>
  <c r="BK24" i="3"/>
  <c r="BL24" i="3"/>
  <c r="BM24" i="3" s="1"/>
  <c r="BN24" i="3"/>
  <c r="BQ24" i="3"/>
  <c r="BT24" i="3"/>
  <c r="BU24" i="3"/>
  <c r="BV24" i="3"/>
  <c r="BW24" i="3"/>
  <c r="BX24" i="3"/>
  <c r="BY24" i="3"/>
  <c r="CD24" i="3"/>
  <c r="CE24" i="3"/>
  <c r="CF24" i="3"/>
  <c r="CG24" i="3"/>
  <c r="CH24" i="3"/>
  <c r="CI24" i="3"/>
  <c r="CJ24" i="3"/>
  <c r="CK24" i="3"/>
  <c r="CD30" i="3"/>
  <c r="BH17" i="3" s="1"/>
  <c r="CE30" i="3"/>
  <c r="BH18" i="3" s="1"/>
  <c r="CF30" i="3"/>
  <c r="BH19" i="3" s="1"/>
  <c r="CG30" i="3"/>
  <c r="BH20" i="3" s="1"/>
  <c r="CH30" i="3"/>
  <c r="BH21" i="3" s="1"/>
  <c r="CI30" i="3"/>
  <c r="BH22" i="3" s="1"/>
  <c r="CJ30" i="3"/>
  <c r="BH23" i="3" s="1"/>
  <c r="CK30" i="3"/>
  <c r="BH24" i="3" s="1"/>
  <c r="CD31" i="3"/>
  <c r="CE31" i="3"/>
  <c r="CF31" i="3"/>
  <c r="CG31" i="3"/>
  <c r="CH31" i="3"/>
  <c r="CI31" i="3"/>
  <c r="CJ31" i="3"/>
  <c r="CK31" i="3"/>
  <c r="CD32" i="3"/>
  <c r="CE32" i="3"/>
  <c r="CF32" i="3"/>
  <c r="CG32" i="3"/>
  <c r="CH32" i="3"/>
  <c r="CI32" i="3"/>
  <c r="CJ32" i="3"/>
  <c r="CK32" i="3"/>
  <c r="CD33" i="3"/>
  <c r="CE33" i="3"/>
  <c r="CF33" i="3"/>
  <c r="CG33" i="3"/>
  <c r="CH33" i="3"/>
  <c r="CI33" i="3"/>
  <c r="CJ33" i="3"/>
  <c r="CK33" i="3"/>
  <c r="CD34" i="3"/>
  <c r="CE34" i="3"/>
  <c r="CF34" i="3"/>
  <c r="CG34" i="3"/>
  <c r="CH34" i="3"/>
  <c r="CI34" i="3"/>
  <c r="CJ34" i="3"/>
  <c r="CK34" i="3"/>
  <c r="CD37" i="3"/>
  <c r="CE37" i="3"/>
  <c r="CF37" i="3"/>
  <c r="CG37" i="3"/>
  <c r="CH37" i="3"/>
  <c r="CI37" i="3"/>
  <c r="CJ37" i="3"/>
  <c r="CK37" i="3"/>
  <c r="CD38" i="3"/>
  <c r="CE38" i="3"/>
  <c r="CF38" i="3"/>
  <c r="CG38" i="3"/>
  <c r="CH38" i="3"/>
  <c r="CI38" i="3"/>
  <c r="CJ38" i="3"/>
  <c r="CK38" i="3"/>
  <c r="CD39" i="3"/>
  <c r="CE39" i="3"/>
  <c r="CF39" i="3"/>
  <c r="CG39" i="3"/>
  <c r="CH39" i="3"/>
  <c r="CI39" i="3"/>
  <c r="CJ39" i="3"/>
  <c r="CK39" i="3"/>
  <c r="CD40" i="3"/>
  <c r="CE40" i="3"/>
  <c r="CF40" i="3"/>
  <c r="CG40" i="3"/>
  <c r="CH40" i="3"/>
  <c r="CI40" i="3"/>
  <c r="CJ40" i="3"/>
  <c r="CK40" i="3"/>
  <c r="CD41" i="3"/>
  <c r="CE41" i="3"/>
  <c r="CF41" i="3"/>
  <c r="CG41" i="3"/>
  <c r="CH41" i="3"/>
  <c r="CI41" i="3"/>
  <c r="CJ41" i="3"/>
  <c r="CK41" i="3"/>
  <c r="BZ21" i="5" l="1"/>
  <c r="CC21" i="5"/>
  <c r="BZ20" i="5"/>
  <c r="BZ31" i="5" s="1"/>
  <c r="BW20" i="5"/>
  <c r="BT20" i="5"/>
  <c r="BW21" i="5"/>
  <c r="BT21" i="5"/>
  <c r="BW28" i="3"/>
  <c r="BM21" i="3"/>
  <c r="BI36" i="3"/>
  <c r="L40" i="3" s="1"/>
  <c r="BM36" i="3"/>
  <c r="BM19" i="3"/>
  <c r="BM23" i="3"/>
  <c r="BM18" i="3"/>
  <c r="BM22" i="3"/>
  <c r="BM17" i="3"/>
  <c r="BM20" i="3"/>
  <c r="BM28" i="3" s="1"/>
  <c r="BR20" i="3"/>
  <c r="BM37" i="3"/>
  <c r="BM38" i="3" s="1"/>
  <c r="BM39" i="3" s="1"/>
  <c r="BM40" i="3" s="1"/>
  <c r="BM41" i="3" s="1"/>
  <c r="BJ36" i="3"/>
  <c r="X40" i="3" s="1"/>
  <c r="BY28" i="3"/>
  <c r="BV33" i="3"/>
  <c r="BN28" i="3"/>
  <c r="BT34" i="3" s="1"/>
  <c r="BT35" i="3" s="1"/>
  <c r="BR21" i="3"/>
  <c r="BX28" i="3"/>
  <c r="BT28" i="3"/>
  <c r="BR17" i="3"/>
  <c r="BG17" i="3" s="1"/>
  <c r="BI17" i="3" s="1"/>
  <c r="BT35" i="5"/>
  <c r="C52" i="5" s="1"/>
  <c r="BR19" i="3"/>
  <c r="BG19" i="3" s="1"/>
  <c r="BI19" i="3" s="1"/>
  <c r="BG21" i="3"/>
  <c r="BI21" i="3" s="1"/>
  <c r="BR23" i="3"/>
  <c r="BG23" i="3" s="1"/>
  <c r="BI23" i="3" s="1"/>
  <c r="BR22" i="3"/>
  <c r="BG22" i="3" s="1"/>
  <c r="BI22" i="3" s="1"/>
  <c r="BR18" i="3"/>
  <c r="BG18" i="3" s="1"/>
  <c r="BI18" i="3" s="1"/>
  <c r="BN37" i="3"/>
  <c r="BL36" i="3"/>
  <c r="BT33" i="3"/>
  <c r="BV28" i="3"/>
  <c r="BG24" i="3"/>
  <c r="BI24" i="3" s="1"/>
  <c r="BG20" i="3"/>
  <c r="BI20" i="3" s="1"/>
  <c r="BK36" i="3"/>
  <c r="BU28" i="3"/>
  <c r="BL37" i="3"/>
  <c r="BN36" i="3"/>
  <c r="BI36" i="5" l="1"/>
  <c r="L39" i="5" s="1"/>
  <c r="BM36" i="5"/>
  <c r="BM38" i="5" s="1"/>
  <c r="BM39" i="5" s="1"/>
  <c r="BM40" i="5" s="1"/>
  <c r="BM41" i="5" s="1"/>
  <c r="BT31" i="5"/>
  <c r="BO36" i="5"/>
  <c r="BO38" i="5" s="1"/>
  <c r="BO39" i="5" s="1"/>
  <c r="BO40" i="5" s="1"/>
  <c r="BO41" i="5" s="1"/>
  <c r="BK36" i="5"/>
  <c r="AD39" i="5" s="1"/>
  <c r="BJ36" i="5"/>
  <c r="U39" i="5" s="1"/>
  <c r="BN36" i="5"/>
  <c r="BN38" i="5" s="1"/>
  <c r="BN39" i="5" s="1"/>
  <c r="BN40" i="5" s="1"/>
  <c r="BN41" i="5" s="1"/>
  <c r="BW31" i="5"/>
  <c r="BL36" i="5"/>
  <c r="AM39" i="5" s="1"/>
  <c r="BP36" i="5"/>
  <c r="BP38" i="5" s="1"/>
  <c r="BP39" i="5" s="1"/>
  <c r="BP40" i="5" s="1"/>
  <c r="BP41" i="5" s="1"/>
  <c r="CC31" i="5"/>
  <c r="BK37" i="3"/>
  <c r="AJ41" i="3" s="1"/>
  <c r="BI37" i="3"/>
  <c r="C53" i="3"/>
  <c r="BN38" i="3"/>
  <c r="BJ37" i="3"/>
  <c r="X41" i="3" s="1"/>
  <c r="BT36" i="5"/>
  <c r="BS18" i="3"/>
  <c r="BJ18" i="3"/>
  <c r="BS22" i="3"/>
  <c r="BJ22" i="3"/>
  <c r="BJ23" i="3"/>
  <c r="BS23" i="3"/>
  <c r="BJ19" i="3"/>
  <c r="BS19" i="3"/>
  <c r="BJ20" i="3"/>
  <c r="BS20" i="3"/>
  <c r="L41" i="3"/>
  <c r="BI38" i="3"/>
  <c r="BJ24" i="3"/>
  <c r="BS24" i="3"/>
  <c r="BJ17" i="3"/>
  <c r="BS17" i="3"/>
  <c r="BN39" i="3"/>
  <c r="BN40" i="3" s="1"/>
  <c r="BN41" i="3" s="1"/>
  <c r="BL38" i="3"/>
  <c r="BK38" i="3"/>
  <c r="AJ40" i="3"/>
  <c r="BJ38" i="3"/>
  <c r="BJ21" i="3"/>
  <c r="BS21" i="3"/>
  <c r="BV20" i="5" l="1"/>
  <c r="CE20" i="5"/>
  <c r="BY20" i="5"/>
  <c r="CG20" i="5"/>
  <c r="C54" i="5"/>
  <c r="CB24" i="5"/>
  <c r="CB23" i="5"/>
  <c r="CB22" i="5"/>
  <c r="CB25" i="5"/>
  <c r="CB26" i="5"/>
  <c r="CB27" i="5"/>
  <c r="CG21" i="5"/>
  <c r="BV24" i="5"/>
  <c r="CE22" i="5"/>
  <c r="BV25" i="5"/>
  <c r="CE23" i="5"/>
  <c r="BV26" i="5"/>
  <c r="BV27" i="5"/>
  <c r="CG22" i="5"/>
  <c r="CG24" i="5"/>
  <c r="CG25" i="5"/>
  <c r="CG26" i="5"/>
  <c r="BY23" i="5"/>
  <c r="CE24" i="5"/>
  <c r="CE25" i="5"/>
  <c r="BY24" i="5"/>
  <c r="CE26" i="5"/>
  <c r="BY25" i="5"/>
  <c r="CE27" i="5"/>
  <c r="BY26" i="5"/>
  <c r="CE21" i="5"/>
  <c r="BY27" i="5"/>
  <c r="CG23" i="5"/>
  <c r="CG27" i="5"/>
  <c r="CB21" i="5"/>
  <c r="BV23" i="5"/>
  <c r="BV22" i="5"/>
  <c r="BY22" i="5"/>
  <c r="BY21" i="5"/>
  <c r="CB20" i="5"/>
  <c r="BV21" i="5"/>
  <c r="AJ42" i="3"/>
  <c r="BK39" i="3"/>
  <c r="BK40" i="3" s="1"/>
  <c r="BK41" i="3" s="1"/>
  <c r="AJ44" i="3" s="1"/>
  <c r="BS28" i="3"/>
  <c r="BI39" i="3"/>
  <c r="BI40" i="3" s="1"/>
  <c r="BI41" i="3" s="1"/>
  <c r="L44" i="3" s="1"/>
  <c r="L42" i="3"/>
  <c r="BL39" i="3"/>
  <c r="BL40" i="3" s="1"/>
  <c r="BL41" i="3" s="1"/>
  <c r="C55" i="3" s="1"/>
  <c r="BJ39" i="3"/>
  <c r="BJ40" i="3" s="1"/>
  <c r="BJ41" i="3" s="1"/>
  <c r="X44" i="3" s="1"/>
  <c r="X42" i="3"/>
  <c r="CE31" i="5" l="1"/>
  <c r="CG31" i="5"/>
  <c r="CB31" i="5"/>
  <c r="BY31" i="5"/>
  <c r="BJ37" i="5" s="1"/>
  <c r="BJ38" i="5" s="1"/>
  <c r="BV31" i="5"/>
  <c r="BI37" i="5" s="1"/>
  <c r="C10" i="3"/>
  <c r="C48" i="3"/>
  <c r="BL37" i="5" l="1"/>
  <c r="BL38" i="5" s="1"/>
  <c r="L40" i="5"/>
  <c r="BI38" i="5"/>
  <c r="L41" i="5" s="1"/>
  <c r="BK37" i="5"/>
  <c r="AD40" i="5" s="1"/>
  <c r="U40" i="5"/>
  <c r="U41" i="5"/>
  <c r="BJ39" i="5"/>
  <c r="U42" i="5" s="1"/>
  <c r="W10" i="3"/>
  <c r="W48" i="3"/>
  <c r="AM40" i="5" l="1"/>
  <c r="BK38" i="5"/>
  <c r="AD41" i="5" s="1"/>
  <c r="BL39" i="5"/>
  <c r="AM41" i="5"/>
  <c r="BI39" i="5"/>
  <c r="L42" i="5" s="1"/>
  <c r="BJ40" i="5"/>
  <c r="U43" i="5" s="1"/>
  <c r="BK39" i="5" l="1"/>
  <c r="AD42" i="5" s="1"/>
  <c r="BL40" i="5"/>
  <c r="AM42" i="5"/>
  <c r="BI40" i="5"/>
  <c r="L43" i="5" s="1"/>
  <c r="BJ41" i="5"/>
  <c r="U44" i="5" s="1"/>
  <c r="BK40" i="5" l="1"/>
  <c r="BK41" i="5" s="1"/>
  <c r="AD44" i="5" s="1"/>
  <c r="BL41" i="5"/>
  <c r="AM44" i="5" s="1"/>
  <c r="AM43" i="5"/>
  <c r="BI41" i="5"/>
  <c r="L44" i="5" s="1"/>
  <c r="C10" i="5" l="1"/>
  <c r="C47" i="5"/>
  <c r="W47" i="5" s="1"/>
  <c r="AD43" i="5"/>
  <c r="W10" i="5" l="1"/>
</calcChain>
</file>

<file path=xl/sharedStrings.xml><?xml version="1.0" encoding="utf-8"?>
<sst xmlns="http://schemas.openxmlformats.org/spreadsheetml/2006/main" count="466" uniqueCount="255">
  <si>
    <t>軽減が無い場合、年税額は次の額となります。</t>
    <rPh sb="0" eb="2">
      <t>ケイゲン</t>
    </rPh>
    <rPh sb="3" eb="4">
      <t>ナ</t>
    </rPh>
    <rPh sb="5" eb="7">
      <t>バアイ</t>
    </rPh>
    <rPh sb="8" eb="11">
      <t>ネンゼイガク</t>
    </rPh>
    <rPh sb="12" eb="13">
      <t>ツギ</t>
    </rPh>
    <rPh sb="14" eb="15">
      <t>ガク</t>
    </rPh>
    <phoneticPr fontId="8"/>
  </si>
  <si>
    <t>ただし、世帯内に所得未申告者の方がいる場合、軽減は適用されません。</t>
    <rPh sb="4" eb="6">
      <t>セタイ</t>
    </rPh>
    <rPh sb="6" eb="7">
      <t>ナイ</t>
    </rPh>
    <rPh sb="8" eb="10">
      <t>ショトク</t>
    </rPh>
    <rPh sb="10" eb="14">
      <t>ミシンコクシャ</t>
    </rPh>
    <rPh sb="15" eb="16">
      <t>カタ</t>
    </rPh>
    <rPh sb="19" eb="21">
      <t>バアイ</t>
    </rPh>
    <rPh sb="22" eb="24">
      <t>ケイゲン</t>
    </rPh>
    <rPh sb="25" eb="27">
      <t>テキヨウ</t>
    </rPh>
    <phoneticPr fontId="8"/>
  </si>
  <si>
    <t>所得が一定基準以下の場合に均等割が次の割合で軽減されます。</t>
    <rPh sb="0" eb="2">
      <t>ショトク</t>
    </rPh>
    <rPh sb="3" eb="5">
      <t>イッテイ</t>
    </rPh>
    <rPh sb="5" eb="7">
      <t>キジュン</t>
    </rPh>
    <rPh sb="7" eb="9">
      <t>イカ</t>
    </rPh>
    <rPh sb="10" eb="12">
      <t>バアイ</t>
    </rPh>
    <rPh sb="13" eb="16">
      <t>キントウワリ</t>
    </rPh>
    <rPh sb="17" eb="18">
      <t>ツギ</t>
    </rPh>
    <rPh sb="19" eb="21">
      <t>ワリアイ</t>
    </rPh>
    <rPh sb="22" eb="24">
      <t>ケイゲン</t>
    </rPh>
    <phoneticPr fontId="8"/>
  </si>
  <si>
    <t>◆軽減率</t>
    <rPh sb="1" eb="3">
      <t>ケイゲン</t>
    </rPh>
    <rPh sb="3" eb="4">
      <t>リツ</t>
    </rPh>
    <phoneticPr fontId="8"/>
  </si>
  <si>
    <t>参考（１カ月あたり）</t>
    <rPh sb="0" eb="2">
      <t>サンコウ</t>
    </rPh>
    <rPh sb="5" eb="6">
      <t>ガツ</t>
    </rPh>
    <phoneticPr fontId="8"/>
  </si>
  <si>
    <t>◆令和３年度分の国民健康保険税（年税額）</t>
    <rPh sb="16" eb="19">
      <t>ネンゼイガク</t>
    </rPh>
    <phoneticPr fontId="8"/>
  </si>
  <si>
    <t>100円未満切り捨て</t>
  </si>
  <si>
    <t>基礎控除額</t>
    <rPh sb="0" eb="2">
      <t>キソ</t>
    </rPh>
    <rPh sb="2" eb="4">
      <t>コウジョ</t>
    </rPh>
    <rPh sb="4" eb="5">
      <t>ガク</t>
    </rPh>
    <phoneticPr fontId="8"/>
  </si>
  <si>
    <t>前年の合計所得金額</t>
    <rPh sb="0" eb="2">
      <t>ゼンネン</t>
    </rPh>
    <rPh sb="3" eb="5">
      <t>ゴウケイ</t>
    </rPh>
    <rPh sb="5" eb="7">
      <t>ショトク</t>
    </rPh>
    <rPh sb="7" eb="9">
      <t>キンガク</t>
    </rPh>
    <phoneticPr fontId="8"/>
  </si>
  <si>
    <t>合計(月割分)･･････‣</t>
    <rPh sb="3" eb="5">
      <t>ツキワ</t>
    </rPh>
    <rPh sb="5" eb="6">
      <t>ブン</t>
    </rPh>
    <phoneticPr fontId="8"/>
  </si>
  <si>
    <t>■基礎控除TBL</t>
    <rPh sb="1" eb="3">
      <t>キソ</t>
    </rPh>
    <rPh sb="3" eb="5">
      <t>コウジョ</t>
    </rPh>
    <phoneticPr fontId="8"/>
  </si>
  <si>
    <t>合計(12ヶ月分)･････‣</t>
    <rPh sb="6" eb="7">
      <t>ゲツ</t>
    </rPh>
    <rPh sb="7" eb="8">
      <t>ブン</t>
    </rPh>
    <phoneticPr fontId="8"/>
  </si>
  <si>
    <t>⑥月割保険税（⑤×月数÷12）</t>
    <rPh sb="1" eb="3">
      <t>ツキワリ</t>
    </rPh>
    <rPh sb="3" eb="5">
      <t>ホケン</t>
    </rPh>
    <rPh sb="5" eb="6">
      <t>ゼイ</t>
    </rPh>
    <rPh sb="9" eb="11">
      <t>ツキスウ</t>
    </rPh>
    <phoneticPr fontId="8"/>
  </si>
  <si>
    <t>均等割額(12ヶ月分)･‣</t>
    <rPh sb="0" eb="3">
      <t>キントウワリ</t>
    </rPh>
    <rPh sb="3" eb="4">
      <t>ガク</t>
    </rPh>
    <phoneticPr fontId="8"/>
  </si>
  <si>
    <t>⑤決定保険税額（③－④）</t>
    <rPh sb="1" eb="3">
      <t>ケッテイ</t>
    </rPh>
    <rPh sb="3" eb="5">
      <t>ホケン</t>
    </rPh>
    <rPh sb="5" eb="7">
      <t>ゼイガク</t>
    </rPh>
    <rPh sb="6" eb="7">
      <t>ガク</t>
    </rPh>
    <phoneticPr fontId="8"/>
  </si>
  <si>
    <t>所得割額(12ヶ月分)･‣</t>
    <rPh sb="0" eb="2">
      <t>ショトク</t>
    </rPh>
    <rPh sb="2" eb="3">
      <t>ワリ</t>
    </rPh>
    <rPh sb="3" eb="4">
      <t>ガク</t>
    </rPh>
    <rPh sb="8" eb="9">
      <t>ゲツ</t>
    </rPh>
    <rPh sb="9" eb="10">
      <t>ブン</t>
    </rPh>
    <phoneticPr fontId="8"/>
  </si>
  <si>
    <t>④限度超過額</t>
    <rPh sb="1" eb="3">
      <t>ゲンド</t>
    </rPh>
    <rPh sb="3" eb="5">
      <t>チョウカ</t>
    </rPh>
    <rPh sb="5" eb="6">
      <t>ガク</t>
    </rPh>
    <phoneticPr fontId="8"/>
  </si>
  <si>
    <t>③算出合計額（①＋②）</t>
    <rPh sb="1" eb="3">
      <t>サンシュツ</t>
    </rPh>
    <rPh sb="3" eb="5">
      <t>ゴウケイ</t>
    </rPh>
    <rPh sb="5" eb="6">
      <t>ガク</t>
    </rPh>
    <phoneticPr fontId="8"/>
  </si>
  <si>
    <t>（40歳～65歳未満の加入者）</t>
    <phoneticPr fontId="8"/>
  </si>
  <si>
    <t>（加入者全員）</t>
    <phoneticPr fontId="8"/>
  </si>
  <si>
    <t>②均等割額（軽減あり）</t>
    <rPh sb="1" eb="4">
      <t>キントウワリ</t>
    </rPh>
    <rPh sb="4" eb="5">
      <t>ガク</t>
    </rPh>
    <rPh sb="6" eb="8">
      <t>ケイゲン</t>
    </rPh>
    <phoneticPr fontId="8"/>
  </si>
  <si>
    <t>介護支援金分</t>
    <rPh sb="0" eb="2">
      <t>カイゴ</t>
    </rPh>
    <rPh sb="2" eb="4">
      <t>シエン</t>
    </rPh>
    <rPh sb="4" eb="5">
      <t>キン</t>
    </rPh>
    <rPh sb="5" eb="6">
      <t>ブン</t>
    </rPh>
    <phoneticPr fontId="8"/>
  </si>
  <si>
    <t>後期高齢者支援金等分</t>
    <rPh sb="0" eb="2">
      <t>コウキ</t>
    </rPh>
    <rPh sb="2" eb="5">
      <t>コウレイシャ</t>
    </rPh>
    <rPh sb="5" eb="7">
      <t>シエン</t>
    </rPh>
    <rPh sb="7" eb="8">
      <t>キン</t>
    </rPh>
    <rPh sb="8" eb="9">
      <t>トウ</t>
    </rPh>
    <rPh sb="9" eb="10">
      <t>ブン</t>
    </rPh>
    <phoneticPr fontId="8"/>
  </si>
  <si>
    <t>医療保険分</t>
    <rPh sb="0" eb="2">
      <t>イリョウ</t>
    </rPh>
    <rPh sb="2" eb="4">
      <t>ホケン</t>
    </rPh>
    <rPh sb="4" eb="5">
      <t>ブン</t>
    </rPh>
    <phoneticPr fontId="8"/>
  </si>
  <si>
    <t>加入者G</t>
    <rPh sb="0" eb="3">
      <t>カニュウシャ</t>
    </rPh>
    <phoneticPr fontId="8"/>
  </si>
  <si>
    <t>加入者F</t>
    <rPh sb="0" eb="3">
      <t>カニュウシャ</t>
    </rPh>
    <phoneticPr fontId="8"/>
  </si>
  <si>
    <t>加入者E</t>
    <rPh sb="0" eb="3">
      <t>カニュウシャ</t>
    </rPh>
    <phoneticPr fontId="8"/>
  </si>
  <si>
    <t>加入者D</t>
    <rPh sb="0" eb="3">
      <t>カニュウシャ</t>
    </rPh>
    <phoneticPr fontId="8"/>
  </si>
  <si>
    <t>加入者C</t>
    <rPh sb="0" eb="3">
      <t>カニュウシャ</t>
    </rPh>
    <phoneticPr fontId="8"/>
  </si>
  <si>
    <t>加入者B</t>
    <rPh sb="0" eb="3">
      <t>カニュウシャ</t>
    </rPh>
    <phoneticPr fontId="8"/>
  </si>
  <si>
    <t>加入者A</t>
    <rPh sb="0" eb="3">
      <t>カニュウシャ</t>
    </rPh>
    <phoneticPr fontId="8"/>
  </si>
  <si>
    <t>世帯主</t>
    <rPh sb="0" eb="3">
      <t>セタイヌシ</t>
    </rPh>
    <phoneticPr fontId="8"/>
  </si>
  <si>
    <t>公的年金等雑所得</t>
    <rPh sb="0" eb="2">
      <t>コウテキ</t>
    </rPh>
    <rPh sb="2" eb="4">
      <t>ネンキン</t>
    </rPh>
    <rPh sb="4" eb="5">
      <t>トウ</t>
    </rPh>
    <rPh sb="5" eb="8">
      <t>ザツショトク</t>
    </rPh>
    <phoneticPr fontId="8"/>
  </si>
  <si>
    <t>公的年金等の収入金額の合計額</t>
    <rPh sb="0" eb="2">
      <t>コウテキ</t>
    </rPh>
    <rPh sb="2" eb="4">
      <t>ネンキン</t>
    </rPh>
    <rPh sb="4" eb="5">
      <t>トウ</t>
    </rPh>
    <rPh sb="6" eb="8">
      <t>シュウニュウ</t>
    </rPh>
    <rPh sb="8" eb="10">
      <t>キンガク</t>
    </rPh>
    <rPh sb="11" eb="13">
      <t>ゴウケイ</t>
    </rPh>
    <rPh sb="13" eb="14">
      <t>ガク</t>
    </rPh>
    <phoneticPr fontId="8"/>
  </si>
  <si>
    <t>①所得割額</t>
    <rPh sb="1" eb="3">
      <t>ショトク</t>
    </rPh>
    <rPh sb="3" eb="4">
      <t>ワリ</t>
    </rPh>
    <rPh sb="4" eb="5">
      <t>ガク</t>
    </rPh>
    <phoneticPr fontId="8"/>
  </si>
  <si>
    <t>公的年金等雑所得以外の所得に係る合計所得金額が1,000万円以下として、年金所得を算出しています。</t>
    <rPh sb="0" eb="2">
      <t>コウテキ</t>
    </rPh>
    <rPh sb="2" eb="4">
      <t>ネンキン</t>
    </rPh>
    <rPh sb="4" eb="5">
      <t>トウ</t>
    </rPh>
    <rPh sb="5" eb="8">
      <t>ザツショトク</t>
    </rPh>
    <rPh sb="8" eb="10">
      <t>イガイ</t>
    </rPh>
    <rPh sb="11" eb="13">
      <t>ショトク</t>
    </rPh>
    <rPh sb="14" eb="15">
      <t>カカ</t>
    </rPh>
    <rPh sb="16" eb="18">
      <t>ゴウケイ</t>
    </rPh>
    <rPh sb="18" eb="20">
      <t>ショトク</t>
    </rPh>
    <rPh sb="20" eb="22">
      <t>キンガク</t>
    </rPh>
    <rPh sb="28" eb="32">
      <t>マンエンイカ</t>
    </rPh>
    <rPh sb="36" eb="38">
      <t>ネンキン</t>
    </rPh>
    <rPh sb="38" eb="40">
      <t>ショトク</t>
    </rPh>
    <rPh sb="41" eb="43">
      <t>サンシュツ</t>
    </rPh>
    <phoneticPr fontId="8"/>
  </si>
  <si>
    <t>所得計算結果</t>
    <rPh sb="0" eb="2">
      <t>ショトク</t>
    </rPh>
    <rPh sb="2" eb="4">
      <t>ケイサン</t>
    </rPh>
    <rPh sb="4" eb="6">
      <t>ケッカ</t>
    </rPh>
    <phoneticPr fontId="8"/>
  </si>
  <si>
    <t>65歳未満歳以上</t>
    <rPh sb="2" eb="3">
      <t>サイ</t>
    </rPh>
    <rPh sb="3" eb="5">
      <t>ミマン</t>
    </rPh>
    <rPh sb="5" eb="6">
      <t>サイ</t>
    </rPh>
    <rPh sb="6" eb="8">
      <t>イジョウ</t>
    </rPh>
    <phoneticPr fontId="8"/>
  </si>
  <si>
    <t>均等割額の割合</t>
    <rPh sb="0" eb="3">
      <t>キントウワリ</t>
    </rPh>
    <rPh sb="3" eb="4">
      <t>ガク</t>
    </rPh>
    <rPh sb="5" eb="7">
      <t>ワリアイ</t>
    </rPh>
    <phoneticPr fontId="8"/>
  </si>
  <si>
    <t>介護分</t>
    <rPh sb="0" eb="2">
      <t>カイゴ</t>
    </rPh>
    <rPh sb="2" eb="3">
      <t>ブン</t>
    </rPh>
    <phoneticPr fontId="8"/>
  </si>
  <si>
    <t>支援分</t>
    <rPh sb="0" eb="2">
      <t>シエン</t>
    </rPh>
    <rPh sb="2" eb="3">
      <t>ブン</t>
    </rPh>
    <phoneticPr fontId="8"/>
  </si>
  <si>
    <t>医療分</t>
    <rPh sb="0" eb="2">
      <t>イリョウ</t>
    </rPh>
    <rPh sb="2" eb="3">
      <t>ブン</t>
    </rPh>
    <phoneticPr fontId="8"/>
  </si>
  <si>
    <t>◆計算結果内訳</t>
    <rPh sb="1" eb="3">
      <t>ケイサン</t>
    </rPh>
    <rPh sb="3" eb="5">
      <t>ケッカ</t>
    </rPh>
    <rPh sb="5" eb="7">
      <t>ウチワケ</t>
    </rPh>
    <phoneticPr fontId="8"/>
  </si>
  <si>
    <t>軽減割合</t>
    <rPh sb="0" eb="2">
      <t>ケイゲン</t>
    </rPh>
    <rPh sb="2" eb="4">
      <t>ワリアイ</t>
    </rPh>
    <phoneticPr fontId="8"/>
  </si>
  <si>
    <t>軽減なし</t>
    <rPh sb="0" eb="2">
      <t>ケイゲン</t>
    </rPh>
    <phoneticPr fontId="8"/>
  </si>
  <si>
    <t>軽減あり</t>
    <rPh sb="0" eb="2">
      <t>ケイゲン</t>
    </rPh>
    <phoneticPr fontId="8"/>
  </si>
  <si>
    <t>区分</t>
    <rPh sb="0" eb="2">
      <t>クブン</t>
    </rPh>
    <phoneticPr fontId="8"/>
  </si>
  <si>
    <t>軽減対象所得基準額</t>
    <rPh sb="0" eb="2">
      <t>ケイゲン</t>
    </rPh>
    <rPh sb="2" eb="4">
      <t>タイショウ</t>
    </rPh>
    <rPh sb="4" eb="6">
      <t>ショトク</t>
    </rPh>
    <rPh sb="6" eb="8">
      <t>キジュン</t>
    </rPh>
    <rPh sb="8" eb="9">
      <t>ガク</t>
    </rPh>
    <phoneticPr fontId="8"/>
  </si>
  <si>
    <t>◆（参考）積算内訳</t>
    <rPh sb="2" eb="4">
      <t>サンコウ</t>
    </rPh>
    <rPh sb="5" eb="7">
      <t>セキサン</t>
    </rPh>
    <rPh sb="7" eb="9">
      <t>ウチワケ</t>
    </rPh>
    <phoneticPr fontId="8"/>
  </si>
  <si>
    <t>「本人が特別障害者に該当」「年齢２３歳未満の扶養親族を有する」「特別障害者である同一生計配偶者もしくは扶養親族を有する」</t>
    <phoneticPr fontId="8"/>
  </si>
  <si>
    <t>２軽</t>
    <rPh sb="1" eb="2">
      <t>ケイ</t>
    </rPh>
    <phoneticPr fontId="8"/>
  </si>
  <si>
    <t>５軽</t>
    <rPh sb="1" eb="2">
      <t>ケイ</t>
    </rPh>
    <phoneticPr fontId="8"/>
  </si>
  <si>
    <t>７軽</t>
    <rPh sb="1" eb="2">
      <t>ケイ</t>
    </rPh>
    <phoneticPr fontId="8"/>
  </si>
  <si>
    <t>※4…給与収入が850万円超で次のいずれかに該当する場合、「所得金額調整控除該当」を選択してください。</t>
    <rPh sb="15" eb="16">
      <t>ツギ</t>
    </rPh>
    <rPh sb="22" eb="24">
      <t>ガイトウ</t>
    </rPh>
    <rPh sb="26" eb="28">
      <t>バアイ</t>
    </rPh>
    <rPh sb="42" eb="44">
      <t>センタク</t>
    </rPh>
    <phoneticPr fontId="8"/>
  </si>
  <si>
    <t>※3…世帯主の方が国保加入者でない場合、「擬制世帯主」を選択してください。</t>
    <rPh sb="7" eb="8">
      <t>カタ</t>
    </rPh>
    <rPh sb="9" eb="11">
      <t>コクホ</t>
    </rPh>
    <rPh sb="11" eb="14">
      <t>カニュウシャ</t>
    </rPh>
    <rPh sb="17" eb="19">
      <t>バアイ</t>
    </rPh>
    <rPh sb="28" eb="30">
      <t>センタク</t>
    </rPh>
    <phoneticPr fontId="8"/>
  </si>
  <si>
    <t xml:space="preserve">※2…この軽減を受けるには、雇用保険受給資格者証が必要です。
</t>
    <rPh sb="5" eb="7">
      <t>ケイゲン</t>
    </rPh>
    <rPh sb="8" eb="9">
      <t>ウ</t>
    </rPh>
    <rPh sb="14" eb="16">
      <t>コヨウ</t>
    </rPh>
    <rPh sb="16" eb="18">
      <t>ホケン</t>
    </rPh>
    <rPh sb="18" eb="20">
      <t>ジュキュウ</t>
    </rPh>
    <rPh sb="20" eb="23">
      <t>シカクシャ</t>
    </rPh>
    <rPh sb="23" eb="24">
      <t>ショウ</t>
    </rPh>
    <rPh sb="25" eb="27">
      <t>ヒツヨウ</t>
    </rPh>
    <phoneticPr fontId="8"/>
  </si>
  <si>
    <t>※1…保険税の軽減判定をするため世帯主の方の収入は必須です。</t>
    <rPh sb="3" eb="5">
      <t>ホケン</t>
    </rPh>
    <rPh sb="5" eb="6">
      <t>ゼイ</t>
    </rPh>
    <rPh sb="7" eb="9">
      <t>ケイゲン</t>
    </rPh>
    <rPh sb="9" eb="11">
      <t>ハンテイ</t>
    </rPh>
    <rPh sb="16" eb="19">
      <t>セタイヌシ</t>
    </rPh>
    <rPh sb="20" eb="21">
      <t>カタ</t>
    </rPh>
    <rPh sb="22" eb="24">
      <t>シュウニュウ</t>
    </rPh>
    <rPh sb="25" eb="27">
      <t>ヒッス</t>
    </rPh>
    <phoneticPr fontId="8"/>
  </si>
  <si>
    <t>65歳未満</t>
    <rPh sb="2" eb="3">
      <t>サイ</t>
    </rPh>
    <rPh sb="3" eb="5">
      <t>ミマン</t>
    </rPh>
    <phoneticPr fontId="8"/>
  </si>
  <si>
    <t>加入者Ｇ</t>
    <rPh sb="0" eb="3">
      <t>カニュウシャ</t>
    </rPh>
    <phoneticPr fontId="8"/>
  </si>
  <si>
    <t>加入者Ｆ</t>
    <rPh sb="0" eb="3">
      <t>カニュウシャ</t>
    </rPh>
    <phoneticPr fontId="8"/>
  </si>
  <si>
    <t>■年金所得速算TBL（公的年金等雑所得以外の所得に係る合計所得金額が1,000万円以下）</t>
    <rPh sb="1" eb="3">
      <t>ネンキン</t>
    </rPh>
    <rPh sb="3" eb="5">
      <t>ショトク</t>
    </rPh>
    <rPh sb="5" eb="7">
      <t>ソクサン</t>
    </rPh>
    <phoneticPr fontId="8"/>
  </si>
  <si>
    <t>介護分
均等割額合計</t>
    <phoneticPr fontId="8"/>
  </si>
  <si>
    <t>介護分
所得割額合計</t>
    <phoneticPr fontId="8"/>
  </si>
  <si>
    <t>支援等分
均等割額合計</t>
    <phoneticPr fontId="8"/>
  </si>
  <si>
    <t>支援等分
所得割額合計</t>
    <phoneticPr fontId="8"/>
  </si>
  <si>
    <t>医療分
均等割額合計</t>
    <phoneticPr fontId="8"/>
  </si>
  <si>
    <t>医療分
所得割額合計</t>
    <rPh sb="8" eb="10">
      <t>ゴウケイ</t>
    </rPh>
    <phoneticPr fontId="8"/>
  </si>
  <si>
    <t>軽減判定所得合計</t>
    <rPh sb="0" eb="2">
      <t>ケイゲン</t>
    </rPh>
    <rPh sb="2" eb="4">
      <t>ハンテイ</t>
    </rPh>
    <rPh sb="4" eb="6">
      <t>ショトク</t>
    </rPh>
    <rPh sb="6" eb="8">
      <t>ゴウケイ</t>
    </rPh>
    <phoneticPr fontId="8"/>
  </si>
  <si>
    <t>軽減対象者数</t>
    <rPh sb="0" eb="2">
      <t>ケイゲン</t>
    </rPh>
    <rPh sb="2" eb="5">
      <t>タイショウシャ</t>
    </rPh>
    <rPh sb="5" eb="6">
      <t>スウ</t>
    </rPh>
    <phoneticPr fontId="8"/>
  </si>
  <si>
    <t>給与所得者等の数</t>
    <rPh sb="0" eb="2">
      <t>キュウヨ</t>
    </rPh>
    <rPh sb="2" eb="4">
      <t>ショトク</t>
    </rPh>
    <rPh sb="4" eb="5">
      <t>シャ</t>
    </rPh>
    <rPh sb="5" eb="6">
      <t>トウ</t>
    </rPh>
    <rPh sb="7" eb="8">
      <t>カズ</t>
    </rPh>
    <phoneticPr fontId="8"/>
  </si>
  <si>
    <t>加入者Ｅ</t>
    <rPh sb="0" eb="3">
      <t>カニュウシャ</t>
    </rPh>
    <phoneticPr fontId="8"/>
  </si>
  <si>
    <t>加入者Ｄ</t>
    <rPh sb="0" eb="3">
      <t>カニュウシャ</t>
    </rPh>
    <phoneticPr fontId="8"/>
  </si>
  <si>
    <t>加入者Ｃ</t>
    <rPh sb="0" eb="3">
      <t>カニュウシャ</t>
    </rPh>
    <phoneticPr fontId="8"/>
  </si>
  <si>
    <t>加入者Ｂ</t>
    <rPh sb="0" eb="3">
      <t>カニュウシャ</t>
    </rPh>
    <phoneticPr fontId="8"/>
  </si>
  <si>
    <t>加入者Ａ</t>
    <rPh sb="0" eb="3">
      <t>カニュウシャ</t>
    </rPh>
    <phoneticPr fontId="8"/>
  </si>
  <si>
    <t>世帯主※1</t>
    <rPh sb="0" eb="3">
      <t>セタイヌシ</t>
    </rPh>
    <phoneticPr fontId="8"/>
  </si>
  <si>
    <t>所得金額調整控除に該当する場合選択
※4</t>
    <rPh sb="0" eb="2">
      <t>ショトク</t>
    </rPh>
    <rPh sb="2" eb="4">
      <t>キンガク</t>
    </rPh>
    <rPh sb="4" eb="6">
      <t>チョウセイ</t>
    </rPh>
    <rPh sb="6" eb="8">
      <t>コウジョ</t>
    </rPh>
    <rPh sb="9" eb="11">
      <t>ガイトウ</t>
    </rPh>
    <rPh sb="13" eb="15">
      <t>バアイ</t>
    </rPh>
    <rPh sb="15" eb="17">
      <t>センタク</t>
    </rPh>
    <phoneticPr fontId="8"/>
  </si>
  <si>
    <t>世帯主が国保加入者でない場合選択
※3</t>
    <rPh sb="0" eb="3">
      <t>セタイヌシ</t>
    </rPh>
    <rPh sb="4" eb="6">
      <t>コクホ</t>
    </rPh>
    <rPh sb="6" eb="9">
      <t>カニュウシャ</t>
    </rPh>
    <rPh sb="12" eb="14">
      <t>バアイ</t>
    </rPh>
    <rPh sb="14" eb="16">
      <t>センタク</t>
    </rPh>
    <phoneticPr fontId="8"/>
  </si>
  <si>
    <t>倒産・解雇・雇い止めによる離職の場合選択
※2</t>
    <rPh sb="0" eb="2">
      <t>トウサン</t>
    </rPh>
    <rPh sb="3" eb="5">
      <t>カイコ</t>
    </rPh>
    <rPh sb="6" eb="7">
      <t>ヤト</t>
    </rPh>
    <rPh sb="8" eb="9">
      <t>ド</t>
    </rPh>
    <rPh sb="13" eb="15">
      <t>リショク</t>
    </rPh>
    <rPh sb="16" eb="18">
      <t>バアイ</t>
    </rPh>
    <rPh sb="18" eb="20">
      <t>センタク</t>
    </rPh>
    <phoneticPr fontId="8"/>
  </si>
  <si>
    <t>その他の所得
(雑所得、営業所得、譲渡一時所得等）</t>
    <rPh sb="2" eb="3">
      <t>タ</t>
    </rPh>
    <rPh sb="4" eb="6">
      <t>ショトク</t>
    </rPh>
    <rPh sb="8" eb="11">
      <t>ザツショトク</t>
    </rPh>
    <rPh sb="12" eb="14">
      <t>エイギョウ</t>
    </rPh>
    <rPh sb="14" eb="16">
      <t>ショトク</t>
    </rPh>
    <rPh sb="17" eb="19">
      <t>ジョウト</t>
    </rPh>
    <rPh sb="19" eb="21">
      <t>イチジ</t>
    </rPh>
    <rPh sb="21" eb="23">
      <t>ショトク</t>
    </rPh>
    <rPh sb="23" eb="24">
      <t>ナド</t>
    </rPh>
    <phoneticPr fontId="8"/>
  </si>
  <si>
    <t>年金収入
(支給額)</t>
    <rPh sb="0" eb="2">
      <t>ネンキン</t>
    </rPh>
    <rPh sb="2" eb="4">
      <t>シュウニュウ</t>
    </rPh>
    <rPh sb="6" eb="9">
      <t>シキュウガク</t>
    </rPh>
    <phoneticPr fontId="8"/>
  </si>
  <si>
    <t>給与収入
(支払金額）</t>
    <rPh sb="0" eb="2">
      <t>キュウヨ</t>
    </rPh>
    <rPh sb="2" eb="4">
      <t>シュウニュウ</t>
    </rPh>
    <rPh sb="6" eb="8">
      <t>シハライ</t>
    </rPh>
    <rPh sb="8" eb="9">
      <t>キン</t>
    </rPh>
    <rPh sb="9" eb="10">
      <t>ガク</t>
    </rPh>
    <phoneticPr fontId="8"/>
  </si>
  <si>
    <t>年齢</t>
    <rPh sb="0" eb="2">
      <t>ネンレイ</t>
    </rPh>
    <phoneticPr fontId="8"/>
  </si>
  <si>
    <t>加入する人</t>
    <rPh sb="0" eb="2">
      <t>カニュウ</t>
    </rPh>
    <rPh sb="4" eb="5">
      <t>ヒト</t>
    </rPh>
    <phoneticPr fontId="8"/>
  </si>
  <si>
    <t>２．加入者の年齢区分を選択し、各収入金額・所得金額を入力してください。</t>
    <rPh sb="2" eb="4">
      <t>カニュウ</t>
    </rPh>
    <rPh sb="4" eb="5">
      <t>シャ</t>
    </rPh>
    <rPh sb="6" eb="8">
      <t>ネンレイ</t>
    </rPh>
    <rPh sb="8" eb="10">
      <t>クブン</t>
    </rPh>
    <rPh sb="11" eb="13">
      <t>センタク</t>
    </rPh>
    <rPh sb="15" eb="16">
      <t>カク</t>
    </rPh>
    <rPh sb="16" eb="18">
      <t>シュウニュウ</t>
    </rPh>
    <rPh sb="18" eb="19">
      <t>キン</t>
    </rPh>
    <rPh sb="19" eb="20">
      <t>ガク</t>
    </rPh>
    <rPh sb="21" eb="23">
      <t>ショトク</t>
    </rPh>
    <rPh sb="23" eb="25">
      <t>キンガク</t>
    </rPh>
    <rPh sb="25" eb="26">
      <t>ゼイガク</t>
    </rPh>
    <rPh sb="26" eb="28">
      <t>ニュウリョク</t>
    </rPh>
    <phoneticPr fontId="8"/>
  </si>
  <si>
    <t>12カ月</t>
  </si>
  <si>
    <t>給与所得金額</t>
    <rPh sb="0" eb="2">
      <t>キュウヨ</t>
    </rPh>
    <rPh sb="2" eb="4">
      <t>ショトク</t>
    </rPh>
    <rPh sb="4" eb="6">
      <t>キンガク</t>
    </rPh>
    <phoneticPr fontId="8"/>
  </si>
  <si>
    <t>給与収入の合計額</t>
    <rPh sb="0" eb="2">
      <t>キュウヨ</t>
    </rPh>
    <rPh sb="2" eb="4">
      <t>シュウニュウ</t>
    </rPh>
    <rPh sb="5" eb="7">
      <t>ゴウケイ</t>
    </rPh>
    <rPh sb="7" eb="8">
      <t>ガク</t>
    </rPh>
    <phoneticPr fontId="8"/>
  </si>
  <si>
    <t>介護分
均等割額</t>
    <rPh sb="0" eb="2">
      <t>カイゴ</t>
    </rPh>
    <rPh sb="2" eb="3">
      <t>ブン</t>
    </rPh>
    <rPh sb="4" eb="7">
      <t>キントウワリ</t>
    </rPh>
    <rPh sb="7" eb="8">
      <t>ガク</t>
    </rPh>
    <phoneticPr fontId="8"/>
  </si>
  <si>
    <t>介護分
所得割額</t>
    <rPh sb="0" eb="2">
      <t>カイゴ</t>
    </rPh>
    <rPh sb="2" eb="3">
      <t>ブン</t>
    </rPh>
    <rPh sb="4" eb="6">
      <t>ショトク</t>
    </rPh>
    <rPh sb="6" eb="7">
      <t>ワリ</t>
    </rPh>
    <rPh sb="7" eb="8">
      <t>ガク</t>
    </rPh>
    <phoneticPr fontId="8"/>
  </si>
  <si>
    <t>支援等分
均等割額</t>
    <rPh sb="0" eb="2">
      <t>シエン</t>
    </rPh>
    <rPh sb="2" eb="3">
      <t>トウ</t>
    </rPh>
    <rPh sb="3" eb="4">
      <t>ブン</t>
    </rPh>
    <rPh sb="5" eb="8">
      <t>キントウワリ</t>
    </rPh>
    <rPh sb="8" eb="9">
      <t>ガク</t>
    </rPh>
    <phoneticPr fontId="8"/>
  </si>
  <si>
    <t>支援等分
所得割額</t>
    <rPh sb="0" eb="2">
      <t>シエン</t>
    </rPh>
    <rPh sb="2" eb="3">
      <t>トウ</t>
    </rPh>
    <rPh sb="3" eb="4">
      <t>ブン</t>
    </rPh>
    <rPh sb="5" eb="7">
      <t>ショトク</t>
    </rPh>
    <rPh sb="7" eb="8">
      <t>ワリ</t>
    </rPh>
    <rPh sb="8" eb="9">
      <t>ガク</t>
    </rPh>
    <phoneticPr fontId="8"/>
  </si>
  <si>
    <t>医療分
均等割額</t>
    <rPh sb="0" eb="2">
      <t>イリョウ</t>
    </rPh>
    <rPh sb="2" eb="3">
      <t>ブン</t>
    </rPh>
    <rPh sb="4" eb="7">
      <t>キントウワリ</t>
    </rPh>
    <rPh sb="7" eb="8">
      <t>ガク</t>
    </rPh>
    <phoneticPr fontId="8"/>
  </si>
  <si>
    <t>医療分
所得割額</t>
    <rPh sb="0" eb="2">
      <t>イリョウ</t>
    </rPh>
    <rPh sb="2" eb="3">
      <t>ブン</t>
    </rPh>
    <rPh sb="4" eb="6">
      <t>ショトク</t>
    </rPh>
    <rPh sb="6" eb="7">
      <t>ワリ</t>
    </rPh>
    <rPh sb="7" eb="8">
      <t>ガク</t>
    </rPh>
    <phoneticPr fontId="8"/>
  </si>
  <si>
    <t>軽減判定所得</t>
    <rPh sb="0" eb="2">
      <t>ケイゲン</t>
    </rPh>
    <rPh sb="2" eb="4">
      <t>ハンテイ</t>
    </rPh>
    <rPh sb="4" eb="6">
      <t>ショトク</t>
    </rPh>
    <phoneticPr fontId="8"/>
  </si>
  <si>
    <t>所得金額
調整控除②</t>
    <rPh sb="0" eb="2">
      <t>ショトク</t>
    </rPh>
    <rPh sb="2" eb="4">
      <t>キンガク</t>
    </rPh>
    <rPh sb="5" eb="7">
      <t>チョウセイ</t>
    </rPh>
    <rPh sb="7" eb="9">
      <t>コウジョ</t>
    </rPh>
    <phoneticPr fontId="8"/>
  </si>
  <si>
    <t>所得調整控除額①
（給与収入850万円超で
本人が特別障害者に
該当等）</t>
    <rPh sb="0" eb="2">
      <t>ショトク</t>
    </rPh>
    <rPh sb="2" eb="4">
      <t>チョウセイ</t>
    </rPh>
    <rPh sb="4" eb="6">
      <t>コウジョ</t>
    </rPh>
    <rPh sb="6" eb="7">
      <t>ガク</t>
    </rPh>
    <rPh sb="10" eb="12">
      <t>キュウヨ</t>
    </rPh>
    <rPh sb="12" eb="14">
      <t>シュウニュウ</t>
    </rPh>
    <rPh sb="17" eb="19">
      <t>マンエン</t>
    </rPh>
    <rPh sb="22" eb="24">
      <t>ホンニン</t>
    </rPh>
    <rPh sb="25" eb="27">
      <t>トクベツ</t>
    </rPh>
    <rPh sb="27" eb="30">
      <t>ショウガイシャ</t>
    </rPh>
    <rPh sb="32" eb="34">
      <t>ガイトウ</t>
    </rPh>
    <rPh sb="34" eb="35">
      <t>ナド</t>
    </rPh>
    <phoneticPr fontId="8"/>
  </si>
  <si>
    <r>
      <t>給与所得
（失業軽減</t>
    </r>
    <r>
      <rPr>
        <b/>
        <sz val="16"/>
        <rFont val="HG丸ｺﾞｼｯｸM-PRO"/>
        <family val="3"/>
        <charset val="128"/>
      </rPr>
      <t>後</t>
    </r>
    <r>
      <rPr>
        <sz val="11"/>
        <rFont val="HG丸ｺﾞｼｯｸM-PRO"/>
        <family val="3"/>
        <charset val="128"/>
      </rPr>
      <t>）
（所得金額調整控除</t>
    </r>
    <r>
      <rPr>
        <b/>
        <sz val="16"/>
        <rFont val="HG丸ｺﾞｼｯｸM-PRO"/>
        <family val="3"/>
        <charset val="128"/>
      </rPr>
      <t>前</t>
    </r>
    <r>
      <rPr>
        <sz val="11"/>
        <rFont val="HG丸ｺﾞｼｯｸM-PRO"/>
        <family val="3"/>
        <charset val="128"/>
      </rPr>
      <t>）</t>
    </r>
    <rPh sb="0" eb="2">
      <t>キュウヨ</t>
    </rPh>
    <rPh sb="2" eb="4">
      <t>ショトク</t>
    </rPh>
    <rPh sb="6" eb="8">
      <t>シツギョウ</t>
    </rPh>
    <rPh sb="8" eb="10">
      <t>ケイゲン</t>
    </rPh>
    <rPh sb="10" eb="11">
      <t>アト</t>
    </rPh>
    <rPh sb="14" eb="16">
      <t>ショトク</t>
    </rPh>
    <rPh sb="16" eb="18">
      <t>キンガク</t>
    </rPh>
    <rPh sb="18" eb="20">
      <t>チョウセイ</t>
    </rPh>
    <rPh sb="20" eb="22">
      <t>コウジョ</t>
    </rPh>
    <rPh sb="22" eb="23">
      <t>マエ</t>
    </rPh>
    <phoneticPr fontId="8"/>
  </si>
  <si>
    <r>
      <t>給与所得
（失業軽減</t>
    </r>
    <r>
      <rPr>
        <b/>
        <sz val="16"/>
        <rFont val="HG丸ｺﾞｼｯｸM-PRO"/>
        <family val="3"/>
        <charset val="128"/>
      </rPr>
      <t>前</t>
    </r>
    <r>
      <rPr>
        <sz val="11"/>
        <rFont val="HG丸ｺﾞｼｯｸM-PRO"/>
        <family val="3"/>
        <charset val="128"/>
      </rPr>
      <t>）
（所得金額調整控除</t>
    </r>
    <r>
      <rPr>
        <b/>
        <sz val="16"/>
        <rFont val="HG丸ｺﾞｼｯｸM-PRO"/>
        <family val="3"/>
        <charset val="128"/>
      </rPr>
      <t>前</t>
    </r>
    <r>
      <rPr>
        <sz val="11"/>
        <rFont val="HG丸ｺﾞｼｯｸM-PRO"/>
        <family val="3"/>
        <charset val="128"/>
      </rPr>
      <t>）</t>
    </r>
    <rPh sb="0" eb="2">
      <t>キュウヨ</t>
    </rPh>
    <rPh sb="2" eb="4">
      <t>ショトク</t>
    </rPh>
    <rPh sb="6" eb="8">
      <t>シツギョウ</t>
    </rPh>
    <rPh sb="8" eb="10">
      <t>ケイゲン</t>
    </rPh>
    <rPh sb="10" eb="11">
      <t>マエ</t>
    </rPh>
    <rPh sb="14" eb="16">
      <t>ショトク</t>
    </rPh>
    <rPh sb="16" eb="18">
      <t>キンガク</t>
    </rPh>
    <rPh sb="18" eb="20">
      <t>チョウセイ</t>
    </rPh>
    <rPh sb="20" eb="22">
      <t>コウジョ</t>
    </rPh>
    <rPh sb="22" eb="23">
      <t>マエ</t>
    </rPh>
    <phoneticPr fontId="8"/>
  </si>
  <si>
    <t>軽減判定区分
（1：該当、
0：非該当）</t>
    <rPh sb="0" eb="2">
      <t>ケイゲン</t>
    </rPh>
    <rPh sb="2" eb="4">
      <t>ハンテイ</t>
    </rPh>
    <rPh sb="4" eb="6">
      <t>クブン</t>
    </rPh>
    <phoneticPr fontId="8"/>
  </si>
  <si>
    <t>給与所得者等区分
（1：該当、
0：非該当）</t>
    <rPh sb="0" eb="2">
      <t>キュウヨ</t>
    </rPh>
    <rPh sb="2" eb="4">
      <t>ショトク</t>
    </rPh>
    <rPh sb="4" eb="5">
      <t>シャ</t>
    </rPh>
    <rPh sb="5" eb="6">
      <t>トウ</t>
    </rPh>
    <rPh sb="6" eb="8">
      <t>クブン</t>
    </rPh>
    <rPh sb="12" eb="14">
      <t>ガイトウ</t>
    </rPh>
    <rPh sb="18" eb="21">
      <t>ヒガイトウ</t>
    </rPh>
    <phoneticPr fontId="8"/>
  </si>
  <si>
    <t>年金所得者区分
（1：該当、
0：非該当）</t>
    <rPh sb="0" eb="2">
      <t>ネンキン</t>
    </rPh>
    <rPh sb="2" eb="4">
      <t>ショトク</t>
    </rPh>
    <rPh sb="4" eb="5">
      <t>シャ</t>
    </rPh>
    <rPh sb="5" eb="7">
      <t>クブン</t>
    </rPh>
    <rPh sb="11" eb="13">
      <t>ガイトウ</t>
    </rPh>
    <rPh sb="17" eb="20">
      <t>ヒガイトウ</t>
    </rPh>
    <phoneticPr fontId="8"/>
  </si>
  <si>
    <t>給与所得者区分
（1：該当、
0：非該当）</t>
    <rPh sb="0" eb="2">
      <t>キュウヨ</t>
    </rPh>
    <rPh sb="2" eb="4">
      <t>ショトク</t>
    </rPh>
    <rPh sb="4" eb="5">
      <t>シャ</t>
    </rPh>
    <rPh sb="5" eb="7">
      <t>クブン</t>
    </rPh>
    <rPh sb="11" eb="13">
      <t>ガイトウ</t>
    </rPh>
    <rPh sb="17" eb="20">
      <t>ヒガイトウ</t>
    </rPh>
    <phoneticPr fontId="8"/>
  </si>
  <si>
    <t>算定基礎額</t>
    <rPh sb="0" eb="2">
      <t>サンテイ</t>
    </rPh>
    <rPh sb="2" eb="4">
      <t>キソ</t>
    </rPh>
    <rPh sb="4" eb="5">
      <t>ガク</t>
    </rPh>
    <phoneticPr fontId="8"/>
  </si>
  <si>
    <t>合計所得</t>
    <rPh sb="0" eb="2">
      <t>ゴウケイ</t>
    </rPh>
    <rPh sb="2" eb="4">
      <t>ショトク</t>
    </rPh>
    <phoneticPr fontId="8"/>
  </si>
  <si>
    <t>年金所得</t>
    <rPh sb="0" eb="2">
      <t>ネンキン</t>
    </rPh>
    <rPh sb="2" eb="4">
      <t>ショトク</t>
    </rPh>
    <phoneticPr fontId="8"/>
  </si>
  <si>
    <r>
      <t>給与所得
（失業軽減</t>
    </r>
    <r>
      <rPr>
        <b/>
        <sz val="16"/>
        <rFont val="HG丸ｺﾞｼｯｸM-PRO"/>
        <family val="3"/>
        <charset val="128"/>
      </rPr>
      <t>後</t>
    </r>
    <r>
      <rPr>
        <sz val="11"/>
        <rFont val="HG丸ｺﾞｼｯｸM-PRO"/>
        <family val="3"/>
        <charset val="128"/>
      </rPr>
      <t>）
（所得金額調整控除</t>
    </r>
    <r>
      <rPr>
        <b/>
        <sz val="16"/>
        <rFont val="HG丸ｺﾞｼｯｸM-PRO"/>
        <family val="3"/>
        <charset val="128"/>
      </rPr>
      <t>後</t>
    </r>
    <r>
      <rPr>
        <sz val="11"/>
        <rFont val="HG丸ｺﾞｼｯｸM-PRO"/>
        <family val="3"/>
        <charset val="128"/>
      </rPr>
      <t>）</t>
    </r>
    <rPh sb="0" eb="2">
      <t>キュウヨ</t>
    </rPh>
    <rPh sb="2" eb="4">
      <t>ショトク</t>
    </rPh>
    <rPh sb="6" eb="8">
      <t>シツギョウ</t>
    </rPh>
    <rPh sb="8" eb="10">
      <t>ケイゲン</t>
    </rPh>
    <rPh sb="10" eb="11">
      <t>アト</t>
    </rPh>
    <rPh sb="14" eb="16">
      <t>ショトク</t>
    </rPh>
    <rPh sb="16" eb="18">
      <t>キンガク</t>
    </rPh>
    <rPh sb="18" eb="20">
      <t>チョウセイ</t>
    </rPh>
    <rPh sb="20" eb="22">
      <t>コウジョ</t>
    </rPh>
    <rPh sb="22" eb="23">
      <t>アト</t>
    </rPh>
    <phoneticPr fontId="8"/>
  </si>
  <si>
    <t>№</t>
    <phoneticPr fontId="8"/>
  </si>
  <si>
    <t>１．加入期間を選択してください。(途中で加入される方は、年度末の3月までの月数を選択してください。)</t>
    <rPh sb="2" eb="4">
      <t>カニュウ</t>
    </rPh>
    <rPh sb="4" eb="6">
      <t>キカン</t>
    </rPh>
    <rPh sb="7" eb="9">
      <t>センタク</t>
    </rPh>
    <rPh sb="17" eb="19">
      <t>トチュウ</t>
    </rPh>
    <rPh sb="20" eb="22">
      <t>カニュウ</t>
    </rPh>
    <rPh sb="25" eb="26">
      <t>カタ</t>
    </rPh>
    <rPh sb="28" eb="31">
      <t>ネンドマツ</t>
    </rPh>
    <rPh sb="33" eb="34">
      <t>ガツ</t>
    </rPh>
    <rPh sb="37" eb="39">
      <t>ツキスウ</t>
    </rPh>
    <rPh sb="40" eb="42">
      <t>センタク</t>
    </rPh>
    <phoneticPr fontId="8"/>
  </si>
  <si>
    <t>■給与所得速算TBL</t>
    <rPh sb="1" eb="3">
      <t>キュウヨ</t>
    </rPh>
    <rPh sb="3" eb="5">
      <t>ショトク</t>
    </rPh>
    <rPh sb="5" eb="7">
      <t>ソクサン</t>
    </rPh>
    <phoneticPr fontId="8"/>
  </si>
  <si>
    <t>軽減判定の額</t>
    <rPh sb="0" eb="2">
      <t>ケイゲン</t>
    </rPh>
    <rPh sb="2" eb="4">
      <t>ハンテイ</t>
    </rPh>
    <rPh sb="5" eb="6">
      <t>ガク</t>
    </rPh>
    <phoneticPr fontId="8"/>
  </si>
  <si>
    <t>２割</t>
    <rPh sb="1" eb="2">
      <t>ワリ</t>
    </rPh>
    <phoneticPr fontId="8"/>
  </si>
  <si>
    <t>５割</t>
    <rPh sb="1" eb="2">
      <t>ワリ</t>
    </rPh>
    <phoneticPr fontId="8"/>
  </si>
  <si>
    <t>７割</t>
    <rPh sb="1" eb="2">
      <t>ワリ</t>
    </rPh>
    <phoneticPr fontId="8"/>
  </si>
  <si>
    <t>限度額</t>
    <rPh sb="0" eb="2">
      <t>ゲンド</t>
    </rPh>
    <rPh sb="2" eb="3">
      <t>ガク</t>
    </rPh>
    <phoneticPr fontId="8"/>
  </si>
  <si>
    <t>・クリーム色の部分の該当部分を選択または入力してください。</t>
    <rPh sb="5" eb="6">
      <t>イロ</t>
    </rPh>
    <rPh sb="7" eb="9">
      <t>ブブン</t>
    </rPh>
    <rPh sb="10" eb="12">
      <t>ガイトウ</t>
    </rPh>
    <rPh sb="12" eb="14">
      <t>ブブン</t>
    </rPh>
    <rPh sb="15" eb="17">
      <t>センタク</t>
    </rPh>
    <rPh sb="20" eb="22">
      <t>ニュウリョク</t>
    </rPh>
    <phoneticPr fontId="8"/>
  </si>
  <si>
    <t>税率</t>
    <rPh sb="0" eb="2">
      <t>ゼイリツ</t>
    </rPh>
    <phoneticPr fontId="8"/>
  </si>
  <si>
    <t>　本計算表では全員の申告があったものとして計算しております。</t>
    <phoneticPr fontId="8"/>
  </si>
  <si>
    <t>均等割</t>
    <rPh sb="0" eb="3">
      <t>キントウワリ</t>
    </rPh>
    <phoneticPr fontId="8"/>
  </si>
  <si>
    <t>所得割</t>
    <rPh sb="0" eb="2">
      <t>ショトク</t>
    </rPh>
    <rPh sb="2" eb="3">
      <t>ワリ</t>
    </rPh>
    <phoneticPr fontId="8"/>
  </si>
  <si>
    <t>・前年中の所得の合計額が一定の基準以下の場合は均等割額が軽減されますが、課税対象者全員の所得が判明している必要があります。</t>
    <rPh sb="1" eb="4">
      <t>ゼンネンチュウ</t>
    </rPh>
    <rPh sb="5" eb="7">
      <t>ショトク</t>
    </rPh>
    <rPh sb="8" eb="10">
      <t>ゴウケイ</t>
    </rPh>
    <rPh sb="10" eb="11">
      <t>ガク</t>
    </rPh>
    <rPh sb="12" eb="14">
      <t>イッテイ</t>
    </rPh>
    <rPh sb="15" eb="17">
      <t>キジュン</t>
    </rPh>
    <rPh sb="17" eb="19">
      <t>イカ</t>
    </rPh>
    <rPh sb="20" eb="22">
      <t>バアイ</t>
    </rPh>
    <rPh sb="23" eb="26">
      <t>キントウワリ</t>
    </rPh>
    <rPh sb="26" eb="27">
      <t>ガク</t>
    </rPh>
    <rPh sb="28" eb="30">
      <t>ケイゲン</t>
    </rPh>
    <rPh sb="36" eb="38">
      <t>カゼイ</t>
    </rPh>
    <rPh sb="38" eb="40">
      <t>タイショウ</t>
    </rPh>
    <rPh sb="40" eb="41">
      <t>シャ</t>
    </rPh>
    <rPh sb="41" eb="43">
      <t>ゼンイン</t>
    </rPh>
    <rPh sb="44" eb="46">
      <t>ショトク</t>
    </rPh>
    <rPh sb="47" eb="49">
      <t>ハンメイ</t>
    </rPh>
    <rPh sb="53" eb="55">
      <t>ヒツヨウ</t>
    </rPh>
    <phoneticPr fontId="8"/>
  </si>
  <si>
    <t>支援金等分</t>
    <rPh sb="0" eb="2">
      <t>シエン</t>
    </rPh>
    <rPh sb="2" eb="3">
      <t>キン</t>
    </rPh>
    <rPh sb="3" eb="4">
      <t>トウ</t>
    </rPh>
    <rPh sb="4" eb="5">
      <t>ブン</t>
    </rPh>
    <phoneticPr fontId="8"/>
  </si>
  <si>
    <t>・試算結果は実際の決定税額ではありません。あくまでも参考としてご利用ください。</t>
  </si>
  <si>
    <t>■年度毎の可変情報（緑色のセルは毎年度見直してください。）</t>
    <rPh sb="1" eb="3">
      <t>ネンド</t>
    </rPh>
    <rPh sb="3" eb="4">
      <t>ゴト</t>
    </rPh>
    <rPh sb="5" eb="7">
      <t>カヘン</t>
    </rPh>
    <rPh sb="7" eb="9">
      <t>ジョウホウ</t>
    </rPh>
    <rPh sb="10" eb="12">
      <t>ミドリイロ</t>
    </rPh>
    <rPh sb="16" eb="19">
      <t>マイネンド</t>
    </rPh>
    <rPh sb="19" eb="21">
      <t>ミナオ</t>
    </rPh>
    <phoneticPr fontId="8"/>
  </si>
  <si>
    <t>令和3年度　さいたま市国民健康保険税の試算表</t>
    <rPh sb="10" eb="11">
      <t>シ</t>
    </rPh>
    <rPh sb="17" eb="18">
      <t>ゼイ</t>
    </rPh>
    <rPh sb="19" eb="22">
      <t>シサンヒョウ</t>
    </rPh>
    <phoneticPr fontId="8"/>
  </si>
  <si>
    <t>国民健康保険料（税）の試算表(年額）</t>
    <rPh sb="6" eb="7">
      <t>リョウ</t>
    </rPh>
    <rPh sb="8" eb="9">
      <t>ゼイ</t>
    </rPh>
    <rPh sb="11" eb="14">
      <t>シサンヒョウ</t>
    </rPh>
    <phoneticPr fontId="8"/>
  </si>
  <si>
    <t>0歳～39歳</t>
    <rPh sb="1" eb="2">
      <t>サイ</t>
    </rPh>
    <rPh sb="5" eb="6">
      <t>サイ</t>
    </rPh>
    <phoneticPr fontId="8"/>
  </si>
  <si>
    <t>１．加入期間を選択してください。</t>
    <rPh sb="2" eb="4">
      <t>カニュウ</t>
    </rPh>
    <rPh sb="4" eb="6">
      <t>キカン</t>
    </rPh>
    <rPh sb="7" eb="9">
      <t>センタク</t>
    </rPh>
    <phoneticPr fontId="8"/>
  </si>
  <si>
    <t>40歳～64歳</t>
    <rPh sb="2" eb="3">
      <t>サイ</t>
    </rPh>
    <rPh sb="6" eb="7">
      <t>サイ</t>
    </rPh>
    <phoneticPr fontId="8"/>
  </si>
  <si>
    <t>65歳～74歳</t>
    <rPh sb="2" eb="3">
      <t>サイ</t>
    </rPh>
    <rPh sb="6" eb="7">
      <t>サイ</t>
    </rPh>
    <phoneticPr fontId="8"/>
  </si>
  <si>
    <t>1カ月</t>
    <rPh sb="2" eb="3">
      <t>ゲツ</t>
    </rPh>
    <phoneticPr fontId="8"/>
  </si>
  <si>
    <t>給与</t>
    <rPh sb="0" eb="2">
      <t>キュウヨ</t>
    </rPh>
    <phoneticPr fontId="8"/>
  </si>
  <si>
    <t>年齢区分</t>
    <rPh sb="0" eb="2">
      <t>ネンレイ</t>
    </rPh>
    <rPh sb="2" eb="4">
      <t>クブン</t>
    </rPh>
    <phoneticPr fontId="8"/>
  </si>
  <si>
    <t>給与収入</t>
    <rPh sb="0" eb="2">
      <t>キュウヨ</t>
    </rPh>
    <rPh sb="2" eb="4">
      <t>シュウニュウ</t>
    </rPh>
    <phoneticPr fontId="8"/>
  </si>
  <si>
    <t>年金収入</t>
    <rPh sb="0" eb="2">
      <t>ネンキン</t>
    </rPh>
    <rPh sb="2" eb="4">
      <t>シュウニュウ</t>
    </rPh>
    <phoneticPr fontId="8"/>
  </si>
  <si>
    <t>その他の所得</t>
    <rPh sb="2" eb="3">
      <t>タ</t>
    </rPh>
    <rPh sb="4" eb="6">
      <t>ショトク</t>
    </rPh>
    <phoneticPr fontId="8"/>
  </si>
  <si>
    <t>非自発</t>
    <rPh sb="0" eb="1">
      <t>ヒ</t>
    </rPh>
    <rPh sb="1" eb="3">
      <t>ジハツ</t>
    </rPh>
    <phoneticPr fontId="8"/>
  </si>
  <si>
    <t>擬主</t>
    <rPh sb="0" eb="1">
      <t>ギ</t>
    </rPh>
    <rPh sb="1" eb="2">
      <t>ヌシ</t>
    </rPh>
    <phoneticPr fontId="8"/>
  </si>
  <si>
    <t>給与所得</t>
    <rPh sb="0" eb="2">
      <t>キュウヨ</t>
    </rPh>
    <rPh sb="2" eb="4">
      <t>ショトク</t>
    </rPh>
    <phoneticPr fontId="8"/>
  </si>
  <si>
    <t>年金</t>
    <rPh sb="0" eb="2">
      <t>ネンキン</t>
    </rPh>
    <phoneticPr fontId="8"/>
  </si>
  <si>
    <t>所得者</t>
    <rPh sb="0" eb="2">
      <t>ショトク</t>
    </rPh>
    <rPh sb="2" eb="3">
      <t>シャ</t>
    </rPh>
    <phoneticPr fontId="8"/>
  </si>
  <si>
    <t>軽判人数</t>
    <rPh sb="0" eb="1">
      <t>ケイ</t>
    </rPh>
    <rPh sb="1" eb="2">
      <t>ハン</t>
    </rPh>
    <rPh sb="2" eb="4">
      <t>ニンズウ</t>
    </rPh>
    <phoneticPr fontId="8"/>
  </si>
  <si>
    <t>給与30%</t>
    <rPh sb="0" eb="2">
      <t>キュウヨ</t>
    </rPh>
    <phoneticPr fontId="8"/>
  </si>
  <si>
    <t>所得金額調整控除</t>
    <rPh sb="0" eb="2">
      <t>ショトク</t>
    </rPh>
    <rPh sb="2" eb="4">
      <t>キンガク</t>
    </rPh>
    <rPh sb="4" eb="6">
      <t>チョウセイ</t>
    </rPh>
    <rPh sb="6" eb="8">
      <t>コウジョ</t>
    </rPh>
    <phoneticPr fontId="8"/>
  </si>
  <si>
    <t>医療所得割</t>
    <rPh sb="0" eb="2">
      <t>イリョウ</t>
    </rPh>
    <rPh sb="2" eb="4">
      <t>ショトク</t>
    </rPh>
    <rPh sb="4" eb="5">
      <t>ワリ</t>
    </rPh>
    <phoneticPr fontId="8"/>
  </si>
  <si>
    <t>医療均等割</t>
    <rPh sb="0" eb="2">
      <t>イリョウ</t>
    </rPh>
    <rPh sb="2" eb="5">
      <t>キントウワリ</t>
    </rPh>
    <phoneticPr fontId="8"/>
  </si>
  <si>
    <t>支援所得割</t>
    <rPh sb="0" eb="2">
      <t>シエン</t>
    </rPh>
    <rPh sb="2" eb="4">
      <t>ショトク</t>
    </rPh>
    <rPh sb="4" eb="5">
      <t>ワリ</t>
    </rPh>
    <phoneticPr fontId="8"/>
  </si>
  <si>
    <t>支援均等割</t>
    <rPh sb="0" eb="2">
      <t>シエン</t>
    </rPh>
    <rPh sb="2" eb="5">
      <t>キントウワリ</t>
    </rPh>
    <phoneticPr fontId="8"/>
  </si>
  <si>
    <t>介護所得割</t>
    <rPh sb="0" eb="2">
      <t>カイゴ</t>
    </rPh>
    <rPh sb="2" eb="4">
      <t>ショトク</t>
    </rPh>
    <rPh sb="4" eb="5">
      <t>ワリ</t>
    </rPh>
    <phoneticPr fontId="8"/>
  </si>
  <si>
    <t>介護均等割</t>
    <rPh sb="0" eb="2">
      <t>カイゴ</t>
    </rPh>
    <rPh sb="2" eb="5">
      <t>キントウワリ</t>
    </rPh>
    <phoneticPr fontId="8"/>
  </si>
  <si>
    <t>医療資産割</t>
    <rPh sb="0" eb="2">
      <t>イリョウ</t>
    </rPh>
    <rPh sb="2" eb="4">
      <t>シサン</t>
    </rPh>
    <rPh sb="4" eb="5">
      <t>ワリ</t>
    </rPh>
    <phoneticPr fontId="8"/>
  </si>
  <si>
    <t>医療平等割</t>
    <rPh sb="0" eb="2">
      <t>イリョウ</t>
    </rPh>
    <rPh sb="2" eb="4">
      <t>ビョウドウ</t>
    </rPh>
    <rPh sb="4" eb="5">
      <t>ワリ</t>
    </rPh>
    <phoneticPr fontId="8"/>
  </si>
  <si>
    <t>支援資産割</t>
    <rPh sb="0" eb="2">
      <t>シエン</t>
    </rPh>
    <rPh sb="2" eb="4">
      <t>シサン</t>
    </rPh>
    <rPh sb="4" eb="5">
      <t>ワリ</t>
    </rPh>
    <phoneticPr fontId="8"/>
  </si>
  <si>
    <t>支援平等割</t>
    <rPh sb="0" eb="2">
      <t>シエン</t>
    </rPh>
    <rPh sb="2" eb="4">
      <t>ビョウドウ</t>
    </rPh>
    <rPh sb="4" eb="5">
      <t>ワリ</t>
    </rPh>
    <phoneticPr fontId="8"/>
  </si>
  <si>
    <t>介護資産割</t>
    <rPh sb="0" eb="2">
      <t>カイゴ</t>
    </rPh>
    <rPh sb="2" eb="4">
      <t>シサン</t>
    </rPh>
    <rPh sb="4" eb="5">
      <t>ワリ</t>
    </rPh>
    <phoneticPr fontId="8"/>
  </si>
  <si>
    <t>介護平等割</t>
    <rPh sb="0" eb="2">
      <t>カイゴ</t>
    </rPh>
    <rPh sb="2" eb="4">
      <t>ビョウドウ</t>
    </rPh>
    <rPh sb="4" eb="5">
      <t>ワリ</t>
    </rPh>
    <phoneticPr fontId="8"/>
  </si>
  <si>
    <t>2カ月</t>
    <rPh sb="2" eb="3">
      <t>ゲツ</t>
    </rPh>
    <phoneticPr fontId="8"/>
  </si>
  <si>
    <t>①</t>
    <phoneticPr fontId="8"/>
  </si>
  <si>
    <t>3カ月</t>
    <rPh sb="2" eb="3">
      <t>ゲツ</t>
    </rPh>
    <phoneticPr fontId="8"/>
  </si>
  <si>
    <t>②</t>
    <phoneticPr fontId="8"/>
  </si>
  <si>
    <t>4カ月</t>
    <rPh sb="2" eb="3">
      <t>ゲツ</t>
    </rPh>
    <phoneticPr fontId="8"/>
  </si>
  <si>
    <t>③</t>
    <phoneticPr fontId="8"/>
  </si>
  <si>
    <t>5カ月</t>
    <rPh sb="2" eb="3">
      <t>ゲツ</t>
    </rPh>
    <phoneticPr fontId="8"/>
  </si>
  <si>
    <t>④</t>
    <phoneticPr fontId="8"/>
  </si>
  <si>
    <t>6カ月</t>
    <rPh sb="2" eb="3">
      <t>ゲツ</t>
    </rPh>
    <phoneticPr fontId="8"/>
  </si>
  <si>
    <t>⑤</t>
    <phoneticPr fontId="8"/>
  </si>
  <si>
    <t>7カ月</t>
    <rPh sb="2" eb="3">
      <t>ゲツ</t>
    </rPh>
    <phoneticPr fontId="8"/>
  </si>
  <si>
    <t>⑥</t>
    <phoneticPr fontId="8"/>
  </si>
  <si>
    <t>8カ月</t>
    <rPh sb="2" eb="3">
      <t>ゲツ</t>
    </rPh>
    <phoneticPr fontId="8"/>
  </si>
  <si>
    <t>⑦</t>
    <phoneticPr fontId="8"/>
  </si>
  <si>
    <t>9カ月</t>
    <rPh sb="2" eb="3">
      <t>ゲツ</t>
    </rPh>
    <phoneticPr fontId="8"/>
  </si>
  <si>
    <t>⑧</t>
    <phoneticPr fontId="8"/>
  </si>
  <si>
    <t>10カ月</t>
    <rPh sb="3" eb="4">
      <t>ゲツ</t>
    </rPh>
    <phoneticPr fontId="8"/>
  </si>
  <si>
    <t>※非自発は30%表示</t>
    <rPh sb="1" eb="2">
      <t>ヒ</t>
    </rPh>
    <rPh sb="2" eb="4">
      <t>ジハツ</t>
    </rPh>
    <rPh sb="8" eb="10">
      <t>ヒョウジ</t>
    </rPh>
    <phoneticPr fontId="8"/>
  </si>
  <si>
    <t>※合計所得による判断なし</t>
    <rPh sb="1" eb="3">
      <t>ゴウケイ</t>
    </rPh>
    <rPh sb="3" eb="5">
      <t>ショトク</t>
    </rPh>
    <rPh sb="8" eb="10">
      <t>ハンダン</t>
    </rPh>
    <phoneticPr fontId="8"/>
  </si>
  <si>
    <t>11カ月</t>
    <rPh sb="3" eb="4">
      <t>ゲツ</t>
    </rPh>
    <phoneticPr fontId="8"/>
  </si>
  <si>
    <t>軽減人数</t>
    <rPh sb="0" eb="2">
      <t>ケイゲン</t>
    </rPh>
    <rPh sb="2" eb="4">
      <t>ニンズウ</t>
    </rPh>
    <phoneticPr fontId="8"/>
  </si>
  <si>
    <t>給与所得者等</t>
    <rPh sb="0" eb="2">
      <t>キュウヨ</t>
    </rPh>
    <rPh sb="2" eb="4">
      <t>ショトク</t>
    </rPh>
    <rPh sb="4" eb="5">
      <t>シャ</t>
    </rPh>
    <rPh sb="5" eb="6">
      <t>トウ</t>
    </rPh>
    <phoneticPr fontId="8"/>
  </si>
  <si>
    <t>12カ月</t>
    <rPh sb="3" eb="4">
      <t>ゲツ</t>
    </rPh>
    <phoneticPr fontId="8"/>
  </si>
  <si>
    <t>基準額</t>
    <rPh sb="0" eb="2">
      <t>キジュン</t>
    </rPh>
    <rPh sb="2" eb="3">
      <t>ガク</t>
    </rPh>
    <phoneticPr fontId="8"/>
  </si>
  <si>
    <t>令和３年度分の国民健康保険税（１年分）</t>
    <rPh sb="0" eb="2">
      <t>レイワ</t>
    </rPh>
    <rPh sb="13" eb="14">
      <t>ゼイ</t>
    </rPh>
    <phoneticPr fontId="8"/>
  </si>
  <si>
    <t>円</t>
    <rPh sb="0" eb="1">
      <t>エン</t>
    </rPh>
    <phoneticPr fontId="8"/>
  </si>
  <si>
    <t>※給与所得の算出において、給与所得と年金所得の両方がある方の所得金額調整控除は、自動的に反映した状態で計算されます。
※給与所得の算出において、22歳以下の扶養親族・特別障害者等を有する方等の所得金額調整控除は、この試算シートでは反映できません。
※子育て世帯向け減免は反映されません。
※非自発的失業者に係る特例軽減に該当する場合は、該当者の「非自発」の欄で「●」を選択してください。
※均等割額の軽減判定において、旧被保険者（国民健康保険から後期高齢者医療保険制度に移行した方）の方の人数および所得も含めて判定しますが、この試算シートでは反映できません。入力は不要ですが、軽減判定が正しく行われない場合があります。
※均等割額の軽減判定において、擬制世帯主の方の所得も判定に含みます。該当者の「擬主」の欄で「●」を選択してください。
※退職所得（退職金を一時金として受け取る場合）は、その他の所得には含みません。
※分離の所得のマイナス分は０円とみなすため、マイナス分の入力はしないでください。</t>
    <phoneticPr fontId="8"/>
  </si>
  <si>
    <t>軽減</t>
    <rPh sb="0" eb="2">
      <t>ケイゲン</t>
    </rPh>
    <phoneticPr fontId="8"/>
  </si>
  <si>
    <t>所得割率</t>
    <rPh sb="0" eb="2">
      <t>ショトク</t>
    </rPh>
    <rPh sb="2" eb="3">
      <t>ワリ</t>
    </rPh>
    <rPh sb="3" eb="4">
      <t>リツ</t>
    </rPh>
    <phoneticPr fontId="8"/>
  </si>
  <si>
    <t>医療</t>
    <rPh sb="0" eb="2">
      <t>イリョウ</t>
    </rPh>
    <phoneticPr fontId="8"/>
  </si>
  <si>
    <t>軽判所得</t>
    <rPh sb="0" eb="1">
      <t>ケイ</t>
    </rPh>
    <rPh sb="1" eb="2">
      <t>ハン</t>
    </rPh>
    <rPh sb="2" eb="4">
      <t>ショトク</t>
    </rPh>
    <phoneticPr fontId="8"/>
  </si>
  <si>
    <t>支援</t>
    <rPh sb="0" eb="2">
      <t>シエン</t>
    </rPh>
    <phoneticPr fontId="8"/>
  </si>
  <si>
    <t xml:space="preserve"> 適用される軽減率</t>
    <rPh sb="1" eb="3">
      <t>テキヨウ</t>
    </rPh>
    <rPh sb="6" eb="8">
      <t>ケイゲン</t>
    </rPh>
    <rPh sb="8" eb="9">
      <t>リツ</t>
    </rPh>
    <phoneticPr fontId="8"/>
  </si>
  <si>
    <t>介護</t>
    <rPh sb="0" eb="2">
      <t>カイゴ</t>
    </rPh>
    <phoneticPr fontId="8"/>
  </si>
  <si>
    <t>均等割額</t>
    <rPh sb="0" eb="3">
      <t>キントウワリ</t>
    </rPh>
    <rPh sb="3" eb="4">
      <t>ガク</t>
    </rPh>
    <phoneticPr fontId="8"/>
  </si>
  <si>
    <t>国民健康保険税内訳</t>
    <rPh sb="0" eb="2">
      <t>コクミン</t>
    </rPh>
    <rPh sb="2" eb="4">
      <t>ケンコウ</t>
    </rPh>
    <rPh sb="4" eb="6">
      <t>ホケン</t>
    </rPh>
    <rPh sb="6" eb="7">
      <t>ゼイ</t>
    </rPh>
    <rPh sb="7" eb="9">
      <t>ウチワケ</t>
    </rPh>
    <phoneticPr fontId="8"/>
  </si>
  <si>
    <t>資産割率</t>
    <rPh sb="0" eb="2">
      <t>シサン</t>
    </rPh>
    <rPh sb="2" eb="3">
      <t>ワリ</t>
    </rPh>
    <rPh sb="3" eb="4">
      <t>リツ</t>
    </rPh>
    <phoneticPr fontId="8"/>
  </si>
  <si>
    <t>②均等割額</t>
    <rPh sb="1" eb="4">
      <t>キントウワリ</t>
    </rPh>
    <rPh sb="4" eb="5">
      <t>ガク</t>
    </rPh>
    <phoneticPr fontId="8"/>
  </si>
  <si>
    <r>
      <t>③算出合計額</t>
    </r>
    <r>
      <rPr>
        <sz val="10"/>
        <color theme="1"/>
        <rFont val="HG丸ｺﾞｼｯｸM-PRO"/>
        <family val="3"/>
        <charset val="128"/>
      </rPr>
      <t>（①＋②）</t>
    </r>
    <rPh sb="1" eb="3">
      <t>サンシュツ</t>
    </rPh>
    <rPh sb="3" eb="5">
      <t>ゴウケイ</t>
    </rPh>
    <rPh sb="5" eb="6">
      <t>ガク</t>
    </rPh>
    <phoneticPr fontId="8"/>
  </si>
  <si>
    <t>平等割</t>
    <rPh sb="0" eb="2">
      <t>ビョウドウ</t>
    </rPh>
    <rPh sb="2" eb="3">
      <t>ワリ</t>
    </rPh>
    <phoneticPr fontId="8"/>
  </si>
  <si>
    <r>
      <t>⑤決定保険税額</t>
    </r>
    <r>
      <rPr>
        <sz val="12"/>
        <color theme="1"/>
        <rFont val="HG丸ｺﾞｼｯｸM-PRO"/>
        <family val="3"/>
        <charset val="128"/>
      </rPr>
      <t>（③－④）</t>
    </r>
    <rPh sb="1" eb="3">
      <t>ケッテイ</t>
    </rPh>
    <rPh sb="3" eb="5">
      <t>ホケン</t>
    </rPh>
    <rPh sb="5" eb="7">
      <t>ゼイガク</t>
    </rPh>
    <rPh sb="6" eb="7">
      <t>ガク</t>
    </rPh>
    <phoneticPr fontId="8"/>
  </si>
  <si>
    <t>基礎控除</t>
    <rPh sb="0" eb="2">
      <t>キソ</t>
    </rPh>
    <rPh sb="2" eb="4">
      <t>コウジョ</t>
    </rPh>
    <phoneticPr fontId="8"/>
  </si>
  <si>
    <r>
      <t>⑥月割保険税</t>
    </r>
    <r>
      <rPr>
        <sz val="12"/>
        <color theme="1"/>
        <rFont val="HG丸ｺﾞｼｯｸM-PRO"/>
        <family val="3"/>
        <charset val="128"/>
      </rPr>
      <t>（⑤×月数÷12）</t>
    </r>
    <rPh sb="1" eb="3">
      <t>ツキワリ</t>
    </rPh>
    <rPh sb="3" eb="5">
      <t>ホケン</t>
    </rPh>
    <rPh sb="5" eb="6">
      <t>ゼイ</t>
    </rPh>
    <rPh sb="9" eb="11">
      <t>ツキスウ</t>
    </rPh>
    <phoneticPr fontId="8"/>
  </si>
  <si>
    <t>課税限度額</t>
    <rPh sb="0" eb="2">
      <t>カゼイ</t>
    </rPh>
    <rPh sb="2" eb="4">
      <t>ゲンド</t>
    </rPh>
    <rPh sb="4" eb="5">
      <t>ガク</t>
    </rPh>
    <phoneticPr fontId="8"/>
  </si>
  <si>
    <t>この試算表は、概算額であり、加入状況や軽減適用により賦課額が変わります。</t>
    <rPh sb="14" eb="16">
      <t>カニュウ</t>
    </rPh>
    <rPh sb="16" eb="18">
      <t>ジョウキョウ</t>
    </rPh>
    <rPh sb="19" eb="21">
      <t>ケイゲン</t>
    </rPh>
    <rPh sb="21" eb="23">
      <t>テキヨウ</t>
    </rPh>
    <rPh sb="26" eb="29">
      <t>フカガク</t>
    </rPh>
    <rPh sb="30" eb="31">
      <t>カ</t>
    </rPh>
    <phoneticPr fontId="8"/>
  </si>
  <si>
    <t>１．当年度中の加入期間を選択してください。</t>
    <rPh sb="2" eb="6">
      <t>トウネンド</t>
    </rPh>
    <rPh sb="7" eb="9">
      <t>カニュウ</t>
    </rPh>
    <rPh sb="9" eb="11">
      <t>キカン</t>
    </rPh>
    <rPh sb="12" eb="14">
      <t>センタク</t>
    </rPh>
    <phoneticPr fontId="8"/>
  </si>
  <si>
    <t>　所得が無い方もその旨を申告する必要があります。</t>
    <rPh sb="1" eb="3">
      <t>ショトク</t>
    </rPh>
    <rPh sb="4" eb="5">
      <t>ナイカタ</t>
    </rPh>
    <rPh sb="12" eb="14">
      <t>シンコク</t>
    </rPh>
    <phoneticPr fontId="8"/>
  </si>
  <si>
    <t>・均等割額の軽減を適用させるためには、課税対象者全員の所得が判明していることが条件となります。</t>
    <rPh sb="1" eb="4">
      <t>キントウワリ</t>
    </rPh>
    <rPh sb="4" eb="5">
      <t>ガク</t>
    </rPh>
    <rPh sb="6" eb="8">
      <t>ケイゲン</t>
    </rPh>
    <rPh sb="9" eb="11">
      <t>テキヨウ</t>
    </rPh>
    <rPh sb="19" eb="21">
      <t>カゼイ</t>
    </rPh>
    <rPh sb="21" eb="23">
      <t>タイショウ</t>
    </rPh>
    <rPh sb="23" eb="24">
      <t>シャ</t>
    </rPh>
    <rPh sb="24" eb="26">
      <t>ゼンイン</t>
    </rPh>
    <rPh sb="27" eb="29">
      <t>ショトク</t>
    </rPh>
    <rPh sb="30" eb="32">
      <t>ハンメイ</t>
    </rPh>
    <rPh sb="39" eb="41">
      <t>ジョウケントン</t>
    </rPh>
    <phoneticPr fontId="8"/>
  </si>
  <si>
    <t>・</t>
    <rPh sb="0" eb="1">
      <t>イロブブンガイトウブブンセンタクニュウリョク</t>
    </rPh>
    <phoneticPr fontId="8"/>
  </si>
  <si>
    <t>←色の部分を選択または入力してください。</t>
    <phoneticPr fontId="1"/>
  </si>
  <si>
    <t>※2…申請により保険税の軽減が受けられます。申請には雇用保険受給資格者証が交付されており、</t>
    <rPh sb="3" eb="5">
      <t>シンセイ</t>
    </rPh>
    <rPh sb="8" eb="11">
      <t>ホケn</t>
    </rPh>
    <rPh sb="12" eb="14">
      <t>ケイゲn</t>
    </rPh>
    <rPh sb="15" eb="16">
      <t>ウケ</t>
    </rPh>
    <rPh sb="22" eb="24">
      <t>シンセイニヘ</t>
    </rPh>
    <rPh sb="26" eb="28">
      <t>コヨウ</t>
    </rPh>
    <rPh sb="28" eb="30">
      <t>ホケン</t>
    </rPh>
    <rPh sb="30" eb="32">
      <t>ジュキュウ</t>
    </rPh>
    <rPh sb="32" eb="35">
      <t>シカクシャ</t>
    </rPh>
    <rPh sb="35" eb="36">
      <t>ショウ</t>
    </rPh>
    <rPh sb="37" eb="39">
      <t>コウフサルトウガイリショクラン リショクヒツヨウ</t>
    </rPh>
    <phoneticPr fontId="8"/>
  </si>
  <si>
    <t>世帯主及び加入者</t>
    <rPh sb="0" eb="1">
      <t>セタイ</t>
    </rPh>
    <rPh sb="3" eb="4">
      <t xml:space="preserve">オヨビ </t>
    </rPh>
    <rPh sb="5" eb="8">
      <t>カニュウ</t>
    </rPh>
    <phoneticPr fontId="8"/>
  </si>
  <si>
    <t>加入者１</t>
    <rPh sb="0" eb="3">
      <t>カニュウシャ</t>
    </rPh>
    <phoneticPr fontId="8"/>
  </si>
  <si>
    <t>加入者２</t>
    <rPh sb="0" eb="3">
      <t>カニュウシャ</t>
    </rPh>
    <phoneticPr fontId="8"/>
  </si>
  <si>
    <t>加入者３</t>
    <rPh sb="0" eb="3">
      <t>カニュウシャ</t>
    </rPh>
    <phoneticPr fontId="8"/>
  </si>
  <si>
    <t>加入者４</t>
    <rPh sb="0" eb="3">
      <t>カニュウシャ</t>
    </rPh>
    <phoneticPr fontId="8"/>
  </si>
  <si>
    <t>加入者５</t>
    <rPh sb="0" eb="3">
      <t>カニュウシャ</t>
    </rPh>
    <phoneticPr fontId="8"/>
  </si>
  <si>
    <t>加入者６</t>
    <rPh sb="0" eb="3">
      <t>カニュウシャ</t>
    </rPh>
    <phoneticPr fontId="8"/>
  </si>
  <si>
    <t>加入者７</t>
    <rPh sb="0" eb="3">
      <t>カニュウシャ</t>
    </rPh>
    <phoneticPr fontId="8"/>
  </si>
  <si>
    <t>※1…均等割額の軽減判定において、擬制世帯主（国保加入者でない世帯主）の所得も判定に含みます。</t>
    <rPh sb="3" eb="5">
      <t>ホケン</t>
    </rPh>
    <rPh sb="5" eb="6">
      <t>ゼイ</t>
    </rPh>
    <rPh sb="7" eb="9">
      <t>ケイゲン</t>
    </rPh>
    <rPh sb="9" eb="11">
      <t>ハンテイ</t>
    </rPh>
    <rPh sb="16" eb="19">
      <t>セタイヌシ</t>
    </rPh>
    <rPh sb="20" eb="21">
      <t>カタ</t>
    </rPh>
    <rPh sb="23" eb="25">
      <t>コクホニ</t>
    </rPh>
    <rPh sb="25" eb="27">
      <t>カニュウ</t>
    </rPh>
    <rPh sb="27" eb="28">
      <t xml:space="preserve">シャ </t>
    </rPh>
    <rPh sb="31" eb="34">
      <t>セタイヌセィ</t>
    </rPh>
    <rPh sb="36" eb="38">
      <t>ヒッス</t>
    </rPh>
    <phoneticPr fontId="8"/>
  </si>
  <si>
    <t>※3…世帯主が国保加入者でない場合、「擬制世帯主」を選択してください。</t>
    <rPh sb="7" eb="9">
      <t>コクホ</t>
    </rPh>
    <rPh sb="9" eb="12">
      <t>カニュウシャ</t>
    </rPh>
    <rPh sb="15" eb="17">
      <t>バアイ</t>
    </rPh>
    <rPh sb="26" eb="28">
      <t>センタク</t>
    </rPh>
    <phoneticPr fontId="8"/>
  </si>
  <si>
    <t>医療分</t>
    <rPh sb="0" eb="2">
      <t>イリョウ</t>
    </rPh>
    <rPh sb="2" eb="3">
      <t xml:space="preserve">ブン </t>
    </rPh>
    <phoneticPr fontId="1"/>
  </si>
  <si>
    <t>後期高齢者支援金等分</t>
    <phoneticPr fontId="1"/>
  </si>
  <si>
    <t>区分</t>
    <rPh sb="0" eb="2">
      <t>クブn</t>
    </rPh>
    <phoneticPr fontId="1"/>
  </si>
  <si>
    <t>（40歳～64歳の加入者）</t>
    <phoneticPr fontId="8"/>
  </si>
  <si>
    <t>65歳以上</t>
    <rPh sb="2" eb="3">
      <t>サイ</t>
    </rPh>
    <rPh sb="3" eb="5">
      <t>イジョウ</t>
    </rPh>
    <phoneticPr fontId="8"/>
  </si>
  <si>
    <r>
      <t>・試算結果は概算であり、</t>
    </r>
    <r>
      <rPr>
        <b/>
        <u/>
        <sz val="14"/>
        <color theme="1"/>
        <rFont val="HG丸ｺﾞｼｯｸM-PRO"/>
        <family val="3"/>
        <charset val="128"/>
      </rPr>
      <t>実際の決定額と異なることがあります。あくまでも参考としてご利用ください。</t>
    </r>
    <rPh sb="6" eb="8">
      <t>ガイサn</t>
    </rPh>
    <rPh sb="19" eb="20">
      <t>コトナル</t>
    </rPh>
    <phoneticPr fontId="1"/>
  </si>
  <si>
    <t>ただし、世帯内に所得未申告者がいる場合、軽減は適用されません。</t>
    <rPh sb="4" eb="6">
      <t>セタイ</t>
    </rPh>
    <rPh sb="6" eb="7">
      <t>ナイ</t>
    </rPh>
    <rPh sb="8" eb="10">
      <t>ショトク</t>
    </rPh>
    <rPh sb="10" eb="11">
      <t>ミ</t>
    </rPh>
    <rPh sb="11" eb="13">
      <t>シンコク</t>
    </rPh>
    <rPh sb="14" eb="16">
      <t>バアイ</t>
    </rPh>
    <rPh sb="17" eb="19">
      <t>ケイゲン</t>
    </rPh>
    <rPh sb="20" eb="22">
      <t>テキヨウ</t>
    </rPh>
    <phoneticPr fontId="8"/>
  </si>
  <si>
    <t>当該資格者証の離職理由欄の離職理由コードが「11,12,21,22,23,31,32,33,34」である必要があります。</t>
    <phoneticPr fontId="1"/>
  </si>
  <si>
    <t>◆国民健康保険税（年度額）</t>
    <rPh sb="9" eb="11">
      <t>ネn</t>
    </rPh>
    <rPh sb="11" eb="12">
      <t>ネンゼイガク</t>
    </rPh>
    <phoneticPr fontId="8"/>
  </si>
  <si>
    <t>７割軽減</t>
    <rPh sb="1" eb="2">
      <t>ワリ</t>
    </rPh>
    <rPh sb="2" eb="3">
      <t>ケイ</t>
    </rPh>
    <rPh sb="3" eb="4">
      <t xml:space="preserve">ゲン </t>
    </rPh>
    <phoneticPr fontId="8"/>
  </si>
  <si>
    <t>５割軽減</t>
    <rPh sb="1" eb="2">
      <t>ワリ</t>
    </rPh>
    <rPh sb="2" eb="3">
      <t>ケイ</t>
    </rPh>
    <rPh sb="3" eb="4">
      <t xml:space="preserve">ゲン </t>
    </rPh>
    <phoneticPr fontId="8"/>
  </si>
  <si>
    <t>２割軽減</t>
    <rPh sb="1" eb="2">
      <t>ワリ</t>
    </rPh>
    <rPh sb="2" eb="3">
      <t>ケイ</t>
    </rPh>
    <rPh sb="3" eb="4">
      <t xml:space="preserve">ゲン </t>
    </rPh>
    <phoneticPr fontId="8"/>
  </si>
  <si>
    <t>■給与所得</t>
    <rPh sb="1" eb="3">
      <t>キュウヨ</t>
    </rPh>
    <rPh sb="3" eb="5">
      <t>ショトク</t>
    </rPh>
    <phoneticPr fontId="8"/>
  </si>
  <si>
    <t>■年金所得（公的年金等雑所得以外の所得に係る合計所得金額が1,000万円以下）</t>
    <rPh sb="1" eb="3">
      <t>ネンキン</t>
    </rPh>
    <rPh sb="3" eb="5">
      <t>ショトク</t>
    </rPh>
    <phoneticPr fontId="8"/>
  </si>
  <si>
    <t>■基礎控除</t>
    <rPh sb="1" eb="3">
      <t>キソ</t>
    </rPh>
    <rPh sb="3" eb="5">
      <t>コウジョ</t>
    </rPh>
    <phoneticPr fontId="8"/>
  </si>
  <si>
    <r>
      <t>医療分
均等割額
（法定軽減</t>
    </r>
    <r>
      <rPr>
        <b/>
        <sz val="16"/>
        <rFont val="HG丸ｺﾞｼｯｸM-PRO"/>
        <family val="2"/>
        <charset val="128"/>
      </rPr>
      <t>前</t>
    </r>
    <r>
      <rPr>
        <sz val="11"/>
        <rFont val="HG丸ｺﾞｼｯｸM-PRO"/>
        <family val="3"/>
        <charset val="128"/>
      </rPr>
      <t>）
（未就学児軽減</t>
    </r>
    <r>
      <rPr>
        <b/>
        <sz val="16"/>
        <rFont val="HG丸ｺﾞｼｯｸM-PRO"/>
        <family val="2"/>
        <charset val="128"/>
      </rPr>
      <t>後</t>
    </r>
    <r>
      <rPr>
        <sz val="11"/>
        <rFont val="HG丸ｺﾞｼｯｸM-PRO"/>
        <family val="3"/>
        <charset val="128"/>
      </rPr>
      <t>）</t>
    </r>
    <rPh sb="0" eb="2">
      <t>イリョウ</t>
    </rPh>
    <rPh sb="2" eb="3">
      <t>ブン</t>
    </rPh>
    <rPh sb="4" eb="7">
      <t>キントウワリ</t>
    </rPh>
    <rPh sb="7" eb="8">
      <t>ガク</t>
    </rPh>
    <rPh sb="10" eb="12">
      <t>ホウテイ</t>
    </rPh>
    <rPh sb="14" eb="15">
      <t>マエ</t>
    </rPh>
    <rPh sb="18" eb="22">
      <t>ミシュウガクジ</t>
    </rPh>
    <phoneticPr fontId="8"/>
  </si>
  <si>
    <r>
      <t>医療分
均等割額
（法定軽減</t>
    </r>
    <r>
      <rPr>
        <b/>
        <sz val="16"/>
        <rFont val="HG丸ｺﾞｼｯｸM-PRO"/>
        <family val="2"/>
        <charset val="128"/>
      </rPr>
      <t>後</t>
    </r>
    <r>
      <rPr>
        <sz val="11"/>
        <rFont val="HG丸ｺﾞｼｯｸM-PRO"/>
        <family val="3"/>
        <charset val="128"/>
      </rPr>
      <t>）
（未就学児軽減</t>
    </r>
    <r>
      <rPr>
        <b/>
        <sz val="16"/>
        <rFont val="HG丸ｺﾞｼｯｸM-PRO"/>
        <family val="2"/>
        <charset val="128"/>
      </rPr>
      <t>後</t>
    </r>
    <r>
      <rPr>
        <sz val="11"/>
        <rFont val="HG丸ｺﾞｼｯｸM-PRO"/>
        <family val="3"/>
        <charset val="128"/>
      </rPr>
      <t>）</t>
    </r>
    <rPh sb="0" eb="2">
      <t>イリョウ</t>
    </rPh>
    <rPh sb="2" eb="3">
      <t>ブン</t>
    </rPh>
    <rPh sb="4" eb="7">
      <t>キントウワリ</t>
    </rPh>
    <rPh sb="7" eb="8">
      <t>ガク</t>
    </rPh>
    <rPh sb="10" eb="12">
      <t>ホウテイ</t>
    </rPh>
    <rPh sb="18" eb="22">
      <t>ミシュウガクジ</t>
    </rPh>
    <phoneticPr fontId="8"/>
  </si>
  <si>
    <r>
      <t>支援分
均等割額
（法定軽減</t>
    </r>
    <r>
      <rPr>
        <b/>
        <sz val="16"/>
        <rFont val="HG丸ｺﾞｼｯｸM-PRO"/>
        <family val="2"/>
        <charset val="128"/>
      </rPr>
      <t>後</t>
    </r>
    <r>
      <rPr>
        <sz val="11"/>
        <rFont val="HG丸ｺﾞｼｯｸM-PRO"/>
        <family val="3"/>
        <charset val="128"/>
      </rPr>
      <t>）
（未就学児軽減</t>
    </r>
    <r>
      <rPr>
        <b/>
        <sz val="16"/>
        <rFont val="HG丸ｺﾞｼｯｸM-PRO"/>
        <family val="2"/>
        <charset val="128"/>
      </rPr>
      <t>後</t>
    </r>
    <r>
      <rPr>
        <sz val="11"/>
        <rFont val="HG丸ｺﾞｼｯｸM-PRO"/>
        <family val="3"/>
        <charset val="128"/>
      </rPr>
      <t>）</t>
    </r>
    <rPh sb="0" eb="2">
      <t>シエn</t>
    </rPh>
    <rPh sb="2" eb="3">
      <t>ブン</t>
    </rPh>
    <rPh sb="4" eb="7">
      <t>キントウワリ</t>
    </rPh>
    <rPh sb="7" eb="8">
      <t>ガク</t>
    </rPh>
    <rPh sb="10" eb="12">
      <t>ホウテイ</t>
    </rPh>
    <rPh sb="18" eb="22">
      <t>ミシュウガクジ</t>
    </rPh>
    <phoneticPr fontId="8"/>
  </si>
  <si>
    <r>
      <t>支援分
均等割額
（法定軽減</t>
    </r>
    <r>
      <rPr>
        <b/>
        <sz val="16"/>
        <rFont val="HG丸ｺﾞｼｯｸM-PRO"/>
        <family val="2"/>
        <charset val="128"/>
      </rPr>
      <t>前</t>
    </r>
    <r>
      <rPr>
        <sz val="11"/>
        <rFont val="HG丸ｺﾞｼｯｸM-PRO"/>
        <family val="3"/>
        <charset val="128"/>
      </rPr>
      <t>）
（未就学児軽減</t>
    </r>
    <r>
      <rPr>
        <b/>
        <sz val="16"/>
        <rFont val="HG丸ｺﾞｼｯｸM-PRO"/>
        <family val="2"/>
        <charset val="128"/>
      </rPr>
      <t>後</t>
    </r>
    <r>
      <rPr>
        <sz val="11"/>
        <rFont val="HG丸ｺﾞｼｯｸM-PRO"/>
        <family val="3"/>
        <charset val="128"/>
      </rPr>
      <t>）</t>
    </r>
    <rPh sb="0" eb="2">
      <t>シエn</t>
    </rPh>
    <rPh sb="2" eb="3">
      <t>ブン</t>
    </rPh>
    <rPh sb="4" eb="7">
      <t>キントウワリ</t>
    </rPh>
    <rPh sb="7" eb="8">
      <t>ガク</t>
    </rPh>
    <rPh sb="10" eb="12">
      <t>ホウテイ</t>
    </rPh>
    <rPh sb="14" eb="15">
      <t>マエ</t>
    </rPh>
    <rPh sb="18" eb="22">
      <t>ミシュウガクジ</t>
    </rPh>
    <phoneticPr fontId="8"/>
  </si>
  <si>
    <r>
      <t>介護分
均等割額
（法定軽減</t>
    </r>
    <r>
      <rPr>
        <b/>
        <sz val="16"/>
        <rFont val="HG丸ｺﾞｼｯｸM-PRO"/>
        <family val="2"/>
        <charset val="128"/>
      </rPr>
      <t>後</t>
    </r>
    <r>
      <rPr>
        <sz val="11"/>
        <rFont val="HG丸ｺﾞｼｯｸM-PRO"/>
        <family val="3"/>
        <charset val="128"/>
      </rPr>
      <t>）</t>
    </r>
    <rPh sb="0" eb="2">
      <t>カイゴ</t>
    </rPh>
    <rPh sb="2" eb="3">
      <t>ブン</t>
    </rPh>
    <rPh sb="4" eb="7">
      <t>キントウワリ</t>
    </rPh>
    <rPh sb="7" eb="8">
      <t>ガク</t>
    </rPh>
    <rPh sb="10" eb="12">
      <t>ホウテイ</t>
    </rPh>
    <phoneticPr fontId="8"/>
  </si>
  <si>
    <r>
      <t>介護分
均等割額
（法定軽減</t>
    </r>
    <r>
      <rPr>
        <b/>
        <sz val="16"/>
        <rFont val="HG丸ｺﾞｼｯｸM-PRO"/>
        <family val="2"/>
        <charset val="128"/>
      </rPr>
      <t>前</t>
    </r>
    <r>
      <rPr>
        <sz val="11"/>
        <rFont val="HG丸ｺﾞｼｯｸM-PRO"/>
        <family val="3"/>
        <charset val="128"/>
      </rPr>
      <t>）</t>
    </r>
    <rPh sb="0" eb="2">
      <t>カイゴ</t>
    </rPh>
    <rPh sb="2" eb="3">
      <t>ブン</t>
    </rPh>
    <rPh sb="4" eb="7">
      <t>キントウワリ</t>
    </rPh>
    <rPh sb="7" eb="8">
      <t>ガク</t>
    </rPh>
    <rPh sb="10" eb="12">
      <t>ホウテイ</t>
    </rPh>
    <rPh sb="14" eb="15">
      <t>マエ</t>
    </rPh>
    <phoneticPr fontId="8"/>
  </si>
  <si>
    <t>医療分
均等割額合計
（法定軽減後）</t>
    <phoneticPr fontId="8"/>
  </si>
  <si>
    <t>支援分
均等割額合計
（法定軽減後）</t>
    <rPh sb="0" eb="2">
      <t>シエn</t>
    </rPh>
    <phoneticPr fontId="8"/>
  </si>
  <si>
    <t>介護分
均等割額合計
（法定軽減後）</t>
    <rPh sb="0" eb="2">
      <t>カイゴ</t>
    </rPh>
    <phoneticPr fontId="8"/>
  </si>
  <si>
    <t>◆国民健康保険税（年度額）</t>
    <phoneticPr fontId="8"/>
  </si>
  <si>
    <t>子ども子育て支援金分</t>
    <rPh sb="0" eb="1">
      <t>コ</t>
    </rPh>
    <rPh sb="3" eb="5">
      <t>コソダ</t>
    </rPh>
    <rPh sb="6" eb="10">
      <t>シエンキンブン</t>
    </rPh>
    <phoneticPr fontId="8"/>
  </si>
  <si>
    <t>均等割（18歳以上）</t>
    <rPh sb="0" eb="3">
      <t>キントウワリ</t>
    </rPh>
    <rPh sb="6" eb="7">
      <t>サイ</t>
    </rPh>
    <rPh sb="7" eb="9">
      <t>イジョウ</t>
    </rPh>
    <phoneticPr fontId="8"/>
  </si>
  <si>
    <t>子ども・子育て支援金</t>
    <rPh sb="0" eb="1">
      <t>コ</t>
    </rPh>
    <rPh sb="4" eb="6">
      <t>コソダ</t>
    </rPh>
    <rPh sb="7" eb="10">
      <t>シエンキン</t>
    </rPh>
    <phoneticPr fontId="1"/>
  </si>
  <si>
    <t>子ども・子育て支援金
所得割額</t>
    <rPh sb="0" eb="1">
      <t>コ</t>
    </rPh>
    <rPh sb="4" eb="6">
      <t>コソダ</t>
    </rPh>
    <rPh sb="7" eb="9">
      <t>シエン</t>
    </rPh>
    <rPh sb="9" eb="10">
      <t>キン</t>
    </rPh>
    <rPh sb="11" eb="13">
      <t>ショトク</t>
    </rPh>
    <rPh sb="13" eb="14">
      <t>ワリ</t>
    </rPh>
    <rPh sb="14" eb="15">
      <t>ガク</t>
    </rPh>
    <phoneticPr fontId="8"/>
  </si>
  <si>
    <r>
      <t>子ども・子育て支援金
均等割額
（法定軽減</t>
    </r>
    <r>
      <rPr>
        <b/>
        <sz val="16"/>
        <rFont val="HG丸ｺﾞｼｯｸM-PRO"/>
        <family val="2"/>
        <charset val="128"/>
      </rPr>
      <t>前</t>
    </r>
    <r>
      <rPr>
        <sz val="11"/>
        <rFont val="HG丸ｺﾞｼｯｸM-PRO"/>
        <family val="3"/>
        <charset val="128"/>
      </rPr>
      <t>）</t>
    </r>
    <rPh sb="0" eb="1">
      <t>コ</t>
    </rPh>
    <rPh sb="4" eb="6">
      <t>コソダ</t>
    </rPh>
    <rPh sb="7" eb="9">
      <t>シエン</t>
    </rPh>
    <rPh sb="9" eb="10">
      <t>キン</t>
    </rPh>
    <rPh sb="11" eb="14">
      <t>キントウワリ</t>
    </rPh>
    <rPh sb="14" eb="15">
      <t>ガク</t>
    </rPh>
    <rPh sb="17" eb="19">
      <t>ホウテイ</t>
    </rPh>
    <rPh sb="21" eb="22">
      <t>マエ</t>
    </rPh>
    <phoneticPr fontId="8"/>
  </si>
  <si>
    <r>
      <t>子ども・子育て支援金
均等割額
（法定軽減</t>
    </r>
    <r>
      <rPr>
        <b/>
        <sz val="16"/>
        <rFont val="HG丸ｺﾞｼｯｸM-PRO"/>
        <family val="2"/>
        <charset val="128"/>
      </rPr>
      <t>後</t>
    </r>
    <r>
      <rPr>
        <sz val="11"/>
        <rFont val="HG丸ｺﾞｼｯｸM-PRO"/>
        <family val="3"/>
        <charset val="128"/>
      </rPr>
      <t>）</t>
    </r>
    <rPh sb="0" eb="1">
      <t>コ</t>
    </rPh>
    <rPh sb="4" eb="6">
      <t>コソダ</t>
    </rPh>
    <rPh sb="7" eb="9">
      <t>シエン</t>
    </rPh>
    <rPh sb="9" eb="10">
      <t>キン</t>
    </rPh>
    <rPh sb="11" eb="14">
      <t>キントウワリ</t>
    </rPh>
    <rPh sb="14" eb="15">
      <t>ガク</t>
    </rPh>
    <rPh sb="17" eb="18">
      <t>ガク</t>
    </rPh>
    <rPh sb="20" eb="22">
      <t>ホウテイ</t>
    </rPh>
    <phoneticPr fontId="8"/>
  </si>
  <si>
    <t>子ども・子育て支援金
所得割額合計</t>
    <rPh sb="0" eb="1">
      <t>コ</t>
    </rPh>
    <rPh sb="4" eb="6">
      <t>コソダ</t>
    </rPh>
    <rPh sb="7" eb="10">
      <t>シエンキン</t>
    </rPh>
    <phoneticPr fontId="8"/>
  </si>
  <si>
    <t>子ども・子育て支援金
均等割額合計</t>
    <phoneticPr fontId="8"/>
  </si>
  <si>
    <t>子ども・子育て支援金
均等割額合計
（法定軽減後）</t>
    <rPh sb="0" eb="1">
      <t>コ</t>
    </rPh>
    <rPh sb="4" eb="6">
      <t>コソダ</t>
    </rPh>
    <rPh sb="7" eb="9">
      <t>シエン</t>
    </rPh>
    <rPh sb="9" eb="10">
      <t>キン</t>
    </rPh>
    <phoneticPr fontId="8"/>
  </si>
  <si>
    <r>
      <t>子ども・子育て支援金
18歳以上
均等割額
（法定軽減</t>
    </r>
    <r>
      <rPr>
        <b/>
        <sz val="16"/>
        <rFont val="HG丸ｺﾞｼｯｸM-PRO"/>
        <family val="2"/>
        <charset val="128"/>
      </rPr>
      <t>前</t>
    </r>
    <r>
      <rPr>
        <sz val="11"/>
        <rFont val="HG丸ｺﾞｼｯｸM-PRO"/>
        <family val="3"/>
        <charset val="128"/>
      </rPr>
      <t>）</t>
    </r>
    <rPh sb="0" eb="1">
      <t>コ</t>
    </rPh>
    <rPh sb="4" eb="6">
      <t>コソダ</t>
    </rPh>
    <rPh sb="7" eb="9">
      <t>シエン</t>
    </rPh>
    <rPh sb="9" eb="10">
      <t>キン</t>
    </rPh>
    <rPh sb="13" eb="16">
      <t>サイイジョウ</t>
    </rPh>
    <rPh sb="17" eb="20">
      <t>キントウワリ</t>
    </rPh>
    <rPh sb="20" eb="21">
      <t>ガク</t>
    </rPh>
    <rPh sb="23" eb="25">
      <t>ホウテイ</t>
    </rPh>
    <rPh sb="27" eb="28">
      <t>マエ</t>
    </rPh>
    <phoneticPr fontId="8"/>
  </si>
  <si>
    <r>
      <t>子ども・子育て支援金
18歳以上
均等割額
（法定軽減</t>
    </r>
    <r>
      <rPr>
        <b/>
        <sz val="16"/>
        <rFont val="HG丸ｺﾞｼｯｸM-PRO"/>
        <family val="2"/>
        <charset val="128"/>
      </rPr>
      <t>後</t>
    </r>
    <r>
      <rPr>
        <sz val="11"/>
        <rFont val="HG丸ｺﾞｼｯｸM-PRO"/>
        <family val="3"/>
        <charset val="128"/>
      </rPr>
      <t>）</t>
    </r>
    <rPh sb="0" eb="1">
      <t>コ</t>
    </rPh>
    <rPh sb="4" eb="6">
      <t>コソダ</t>
    </rPh>
    <rPh sb="7" eb="9">
      <t>シエン</t>
    </rPh>
    <rPh sb="9" eb="10">
      <t>キン</t>
    </rPh>
    <rPh sb="17" eb="20">
      <t>キントウワリ</t>
    </rPh>
    <rPh sb="20" eb="21">
      <t>ガク</t>
    </rPh>
    <rPh sb="23" eb="24">
      <t>ガク</t>
    </rPh>
    <rPh sb="26" eb="28">
      <t>ホウテイ</t>
    </rPh>
    <phoneticPr fontId="8"/>
  </si>
  <si>
    <t>子ども・子育て支援金</t>
    <rPh sb="0" eb="1">
      <t>コ</t>
    </rPh>
    <rPh sb="4" eb="6">
      <t>コソダ</t>
    </rPh>
    <rPh sb="7" eb="9">
      <t>シエン</t>
    </rPh>
    <rPh sb="9" eb="10">
      <t>キン</t>
    </rPh>
    <phoneticPr fontId="8"/>
  </si>
  <si>
    <t>令和8年度　幸手市国民健康保険税額試算表</t>
    <rPh sb="0" eb="2">
      <t>レイワ</t>
    </rPh>
    <rPh sb="6" eb="9">
      <t>サッテ</t>
    </rPh>
    <rPh sb="15" eb="16">
      <t>ゼイ</t>
    </rPh>
    <rPh sb="16" eb="17">
      <t>ガク</t>
    </rPh>
    <rPh sb="17" eb="20">
      <t>シサンヒョウ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</si>
</sst>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0&quot;円&quot;"/>
    <numFmt numFmtId="178" formatCode="#,##0&quot;円&quot;_ ;[Red]\▲#,##0\ &quot;円&quot;"/>
    <numFmt numFmtId="179" formatCode="#,##0_ "/>
    <numFmt numFmtId="180" formatCode="#,##0&quot;人&quot;_ ;[Red]\▲#,##0\ &quot;人&quot;"/>
  </numFmts>
  <fonts count="27">
    <font>
      <sz val="11"/>
      <color theme="1"/>
      <name val="Yu Gothic"/>
      <family val="2"/>
      <scheme val="minor"/>
    </font>
    <font>
      <sz val="6"/>
      <name val="Yu Gothic"/>
      <family val="3"/>
      <charset val="128"/>
      <scheme val="minor"/>
    </font>
    <font>
      <sz val="11"/>
      <color theme="1"/>
      <name val="Yu Gothic"/>
      <family val="2"/>
      <charset val="128"/>
      <scheme val="minor"/>
    </font>
    <font>
      <sz val="14"/>
      <color theme="1"/>
      <name val="HG丸ｺﾞｼｯｸM-PRO"/>
      <family val="3"/>
      <charset val="128"/>
    </font>
    <font>
      <sz val="11"/>
      <color theme="1"/>
      <name val="HG丸ｺﾞｼｯｸM-PRO"/>
      <family val="3"/>
      <charset val="128"/>
    </font>
    <font>
      <sz val="11"/>
      <name val="HG丸ｺﾞｼｯｸM-PRO"/>
      <family val="3"/>
      <charset val="128"/>
    </font>
    <font>
      <sz val="12"/>
      <color theme="1"/>
      <name val="HG丸ｺﾞｼｯｸM-PRO"/>
      <family val="3"/>
      <charset val="128"/>
    </font>
    <font>
      <b/>
      <sz val="14"/>
      <color theme="1"/>
      <name val="HG丸ｺﾞｼｯｸM-PRO"/>
      <family val="3"/>
      <charset val="128"/>
    </font>
    <font>
      <sz val="6"/>
      <name val="Yu Gothic"/>
      <family val="2"/>
      <charset val="128"/>
      <scheme val="minor"/>
    </font>
    <font>
      <sz val="9"/>
      <color theme="1"/>
      <name val="HG丸ｺﾞｼｯｸM-PRO"/>
      <family val="3"/>
      <charset val="128"/>
    </font>
    <font>
      <sz val="9"/>
      <color indexed="8"/>
      <name val="HG丸ｺﾞｼｯｸM-PRO"/>
      <family val="3"/>
      <charset val="128"/>
    </font>
    <font>
      <sz val="13"/>
      <color theme="1"/>
      <name val="HG丸ｺﾞｼｯｸM-PRO"/>
      <family val="3"/>
      <charset val="128"/>
    </font>
    <font>
      <sz val="10"/>
      <color theme="1"/>
      <name val="HG丸ｺﾞｼｯｸM-PRO"/>
      <family val="3"/>
      <charset val="128"/>
    </font>
    <font>
      <b/>
      <sz val="16"/>
      <name val="HG丸ｺﾞｼｯｸM-PRO"/>
      <family val="3"/>
      <charset val="128"/>
    </font>
    <font>
      <b/>
      <sz val="11"/>
      <color rgb="FFFF0000"/>
      <name val="HG丸ｺﾞｼｯｸM-PRO"/>
      <family val="3"/>
      <charset val="128"/>
    </font>
    <font>
      <sz val="12"/>
      <name val="HG丸ｺﾞｼｯｸM-PRO"/>
      <family val="3"/>
      <charset val="128"/>
    </font>
    <font>
      <b/>
      <sz val="18"/>
      <color theme="1"/>
      <name val="HG丸ｺﾞｼｯｸM-PRO"/>
      <family val="3"/>
      <charset val="128"/>
    </font>
    <font>
      <b/>
      <sz val="16"/>
      <color theme="1"/>
      <name val="HG丸ｺﾞｼｯｸM-PRO"/>
      <family val="3"/>
      <charset val="128"/>
    </font>
    <font>
      <sz val="14"/>
      <name val="HG丸ｺﾞｼｯｸM-PRO"/>
      <family val="3"/>
      <charset val="128"/>
    </font>
    <font>
      <b/>
      <sz val="22"/>
      <color theme="1"/>
      <name val="HG丸ｺﾞｼｯｸM-PRO"/>
      <family val="3"/>
      <charset val="128"/>
    </font>
    <font>
      <sz val="6"/>
      <color theme="1"/>
      <name val="HG丸ｺﾞｼｯｸM-PRO"/>
      <family val="3"/>
      <charset val="128"/>
    </font>
    <font>
      <sz val="9"/>
      <name val="HG丸ｺﾞｼｯｸM-PRO"/>
      <family val="3"/>
      <charset val="128"/>
    </font>
    <font>
      <sz val="6"/>
      <name val="HG丸ｺﾞｼｯｸM-PRO"/>
      <family val="3"/>
      <charset val="128"/>
    </font>
    <font>
      <sz val="9"/>
      <color rgb="FFDDEBF7"/>
      <name val="HG丸ｺﾞｼｯｸM-PRO"/>
      <family val="3"/>
      <charset val="128"/>
    </font>
    <font>
      <sz val="8"/>
      <color theme="1"/>
      <name val="HG丸ｺﾞｼｯｸM-PRO"/>
      <family val="3"/>
      <charset val="128"/>
    </font>
    <font>
      <b/>
      <u/>
      <sz val="14"/>
      <color theme="1"/>
      <name val="HG丸ｺﾞｼｯｸM-PRO"/>
      <family val="3"/>
      <charset val="128"/>
    </font>
    <font>
      <b/>
      <sz val="16"/>
      <name val="HG丸ｺﾞｼｯｸM-PRO"/>
      <family val="2"/>
      <charset val="128"/>
    </font>
  </fonts>
  <fills count="22">
    <fill>
      <patternFill patternType="none"/>
    </fill>
    <fill>
      <patternFill patternType="gray125"/>
    </fill>
    <fill>
      <patternFill patternType="solid">
        <fgColor rgb="FFFFFF00"/>
        <bgColor indexed="64"/>
      </patternFill>
    </fill>
    <fill>
      <patternFill patternType="solid">
        <fgColor rgb="FF66FFCC"/>
        <bgColor indexed="64"/>
      </patternFill>
    </fill>
    <fill>
      <patternFill patternType="solid">
        <fgColor rgb="FF00FFFF"/>
        <bgColor indexed="64"/>
      </patternFill>
    </fill>
    <fill>
      <patternFill patternType="solid">
        <fgColor rgb="FFFFD2CB"/>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D9D9D9"/>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00B050"/>
        <bgColor indexed="64"/>
      </patternFill>
    </fill>
    <fill>
      <patternFill patternType="solid">
        <fgColor rgb="FF00FF00"/>
        <bgColor indexed="64"/>
      </patternFill>
    </fill>
    <fill>
      <patternFill patternType="solid">
        <fgColor rgb="FFFFFFCC"/>
        <bgColor indexed="64"/>
      </patternFill>
    </fill>
    <fill>
      <patternFill patternType="solid">
        <fgColor theme="0" tint="-0.14996795556505021"/>
        <bgColor indexed="64"/>
      </patternFill>
    </fill>
    <fill>
      <patternFill patternType="solid">
        <fgColor rgb="FFDDEBF7"/>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2"/>
        <bgColor indexed="64"/>
      </patternFill>
    </fill>
  </fills>
  <borders count="8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bottom style="thin">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tted">
        <color theme="0" tint="-0.499984740745262"/>
      </top>
      <bottom style="thin">
        <color indexed="64"/>
      </bottom>
      <diagonal/>
    </border>
    <border>
      <left style="thin">
        <color indexed="64"/>
      </left>
      <right style="thin">
        <color indexed="64"/>
      </right>
      <top style="dotted">
        <color theme="0" tint="-0.499984740745262"/>
      </top>
      <bottom style="thin">
        <color theme="0" tint="-0.499984740745262"/>
      </bottom>
      <diagonal/>
    </border>
    <border>
      <left style="thin">
        <color theme="0" tint="-0.499984740745262"/>
      </left>
      <right/>
      <top style="dotted">
        <color theme="0" tint="-0.499984740745262"/>
      </top>
      <bottom style="thin">
        <color theme="0" tint="-0.499984740745262"/>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style="dotted">
        <color theme="0" tint="-0.499984740745262"/>
      </top>
      <bottom style="dotted">
        <color theme="0" tint="-0.499984740745262"/>
      </bottom>
      <diagonal/>
    </border>
    <border>
      <left style="thin">
        <color theme="0" tint="-0.499984740745262"/>
      </left>
      <right/>
      <top style="dotted">
        <color theme="0" tint="-0.499984740745262"/>
      </top>
      <bottom style="dotted">
        <color theme="0" tint="-0.499984740745262"/>
      </bottom>
      <diagonal/>
    </border>
    <border>
      <left style="thin">
        <color indexed="64"/>
      </left>
      <right style="thin">
        <color indexed="64"/>
      </right>
      <top style="thin">
        <color indexed="64"/>
      </top>
      <bottom style="dotted">
        <color theme="0" tint="-0.499984740745262"/>
      </bottom>
      <diagonal/>
    </border>
    <border>
      <left style="thin">
        <color theme="0" tint="-0.499984740745262"/>
      </left>
      <right/>
      <top style="thin">
        <color indexed="64"/>
      </top>
      <bottom style="dotted">
        <color theme="0" tint="-0.49998474074526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otted">
        <color theme="0" tint="-0.499984740745262"/>
      </top>
      <bottom style="thin">
        <color indexed="64"/>
      </bottom>
      <diagonal/>
    </border>
    <border>
      <left style="thin">
        <color theme="0" tint="-0.499984740745262"/>
      </left>
      <right/>
      <top style="dotted">
        <color theme="0" tint="-0.499984740745262"/>
      </top>
      <bottom style="thin">
        <color indexed="64"/>
      </bottom>
      <diagonal/>
    </border>
    <border>
      <left style="thin">
        <color indexed="64"/>
      </left>
      <right/>
      <top style="dotted">
        <color theme="0" tint="-0.499984740745262"/>
      </top>
      <bottom style="dotted">
        <color theme="0" tint="-0.499984740745262"/>
      </bottom>
      <diagonal/>
    </border>
    <border>
      <left style="thin">
        <color indexed="64"/>
      </left>
      <right/>
      <top style="thin">
        <color indexed="64"/>
      </top>
      <bottom style="dotted">
        <color theme="0" tint="-0.499984740745262"/>
      </bottom>
      <diagonal/>
    </border>
    <border>
      <left/>
      <right/>
      <top style="thin">
        <color theme="0" tint="-0.24994659260841701"/>
      </top>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theme="0" tint="-0.34998626667073579"/>
      </left>
      <right/>
      <top/>
      <bottom/>
      <diagonal/>
    </border>
    <border>
      <left style="thin">
        <color rgb="FFC00000"/>
      </left>
      <right style="thin">
        <color rgb="FFC00000"/>
      </right>
      <top/>
      <bottom style="thin">
        <color rgb="FFC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ck">
        <color rgb="FF00B050"/>
      </right>
      <top/>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499984740745262"/>
      </left>
      <right/>
      <top/>
      <bottom style="dotted">
        <color theme="0" tint="-0.499984740745262"/>
      </bottom>
      <diagonal/>
    </border>
    <border>
      <left style="thin">
        <color indexed="64"/>
      </left>
      <right/>
      <top/>
      <bottom style="dotted">
        <color theme="0" tint="-0.499984740745262"/>
      </bottom>
      <diagonal/>
    </border>
    <border>
      <left style="thin">
        <color indexed="64"/>
      </left>
      <right style="thin">
        <color indexed="64"/>
      </right>
      <top/>
      <bottom style="dotted">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Up="1">
      <left style="thin">
        <color theme="0" tint="-0.24994659260841701"/>
      </left>
      <right/>
      <top style="thin">
        <color theme="0" tint="-0.24994659260841701"/>
      </top>
      <bottom style="thin">
        <color theme="0" tint="-0.24994659260841701"/>
      </bottom>
      <diagonal style="thin">
        <color theme="0" tint="-0.24994659260841701"/>
      </diagonal>
    </border>
    <border diagonalUp="1">
      <left/>
      <right/>
      <top style="thin">
        <color theme="0" tint="-0.24994659260841701"/>
      </top>
      <bottom style="thin">
        <color theme="0" tint="-0.24994659260841701"/>
      </bottom>
      <diagonal style="thin">
        <color theme="0" tint="-0.24994659260841701"/>
      </diagonal>
    </border>
    <border diagonalUp="1">
      <left/>
      <right style="thin">
        <color theme="0" tint="-0.24994659260841701"/>
      </right>
      <top style="thin">
        <color theme="0" tint="-0.24994659260841701"/>
      </top>
      <bottom style="thin">
        <color theme="0" tint="-0.24994659260841701"/>
      </bottom>
      <diagonal style="thin">
        <color theme="0" tint="-0.24994659260841701"/>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4">
    <xf numFmtId="0" fontId="0"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527">
    <xf numFmtId="0" fontId="0" fillId="0" borderId="0" xfId="0"/>
    <xf numFmtId="0" fontId="3" fillId="0" borderId="0" xfId="1" applyFont="1">
      <alignment vertical="center"/>
    </xf>
    <xf numFmtId="0" fontId="3" fillId="2" borderId="0" xfId="1" applyFont="1" applyFill="1">
      <alignment vertical="center"/>
    </xf>
    <xf numFmtId="0" fontId="4" fillId="0" borderId="0" xfId="1" applyFont="1">
      <alignment vertical="center"/>
    </xf>
    <xf numFmtId="0" fontId="5" fillId="0" borderId="0" xfId="1" applyFont="1">
      <alignment vertical="center"/>
    </xf>
    <xf numFmtId="0" fontId="5" fillId="0" borderId="0" xfId="1" applyFont="1" applyAlignment="1">
      <alignment horizontal="center" vertical="center"/>
    </xf>
    <xf numFmtId="0" fontId="3" fillId="0" borderId="0" xfId="1" applyFont="1" applyAlignment="1">
      <alignment horizontal="center" vertical="center"/>
    </xf>
    <xf numFmtId="0" fontId="4" fillId="2" borderId="0" xfId="1" applyFont="1" applyFill="1">
      <alignment vertical="center"/>
    </xf>
    <xf numFmtId="0" fontId="4" fillId="0" borderId="0" xfId="1" applyFont="1" applyAlignment="1">
      <alignment horizontal="center" vertical="center"/>
    </xf>
    <xf numFmtId="176" fontId="3" fillId="0" borderId="0" xfId="1" applyNumberFormat="1" applyFont="1">
      <alignment vertical="center"/>
    </xf>
    <xf numFmtId="0" fontId="6" fillId="0" borderId="0" xfId="1" applyFont="1">
      <alignment vertical="center"/>
    </xf>
    <xf numFmtId="176" fontId="3" fillId="0" borderId="0" xfId="2" applyNumberFormat="1" applyFont="1" applyFill="1" applyBorder="1" applyAlignment="1">
      <alignment vertical="center"/>
    </xf>
    <xf numFmtId="0" fontId="7" fillId="0" borderId="0" xfId="1" applyFont="1">
      <alignment vertical="center"/>
    </xf>
    <xf numFmtId="0" fontId="7" fillId="0" borderId="0" xfId="1" applyFont="1" applyAlignment="1">
      <alignment horizontal="left" vertical="center"/>
    </xf>
    <xf numFmtId="38" fontId="5" fillId="0" borderId="0" xfId="2" applyFont="1" applyBorder="1">
      <alignment vertical="center"/>
    </xf>
    <xf numFmtId="0" fontId="7" fillId="0" borderId="0" xfId="1" applyFont="1" applyAlignment="1">
      <alignment horizontal="center" vertical="center"/>
    </xf>
    <xf numFmtId="178" fontId="5" fillId="0" borderId="4" xfId="1" applyNumberFormat="1" applyFont="1" applyBorder="1">
      <alignment vertical="center"/>
    </xf>
    <xf numFmtId="178" fontId="5" fillId="0" borderId="5" xfId="1" applyNumberFormat="1" applyFont="1" applyBorder="1" applyAlignment="1">
      <alignment horizontal="center" vertical="center"/>
    </xf>
    <xf numFmtId="178" fontId="5" fillId="0" borderId="5" xfId="2" applyNumberFormat="1" applyFont="1" applyFill="1" applyBorder="1">
      <alignment vertical="center"/>
    </xf>
    <xf numFmtId="178" fontId="5" fillId="0" borderId="0" xfId="1" applyNumberFormat="1" applyFont="1">
      <alignment vertical="center"/>
    </xf>
    <xf numFmtId="0" fontId="3" fillId="0" borderId="6" xfId="1" applyFont="1" applyBorder="1">
      <alignment vertical="center"/>
    </xf>
    <xf numFmtId="0" fontId="7" fillId="0" borderId="6" xfId="1" applyFont="1" applyBorder="1">
      <alignment vertical="center"/>
    </xf>
    <xf numFmtId="178" fontId="5" fillId="0" borderId="7" xfId="2" applyNumberFormat="1" applyFont="1" applyFill="1" applyBorder="1">
      <alignment vertical="center"/>
    </xf>
    <xf numFmtId="178" fontId="5" fillId="0" borderId="8" xfId="1" applyNumberFormat="1" applyFont="1" applyBorder="1" applyAlignment="1">
      <alignment horizontal="center" vertical="center"/>
    </xf>
    <xf numFmtId="178" fontId="5" fillId="0" borderId="8" xfId="2" applyNumberFormat="1" applyFont="1" applyFill="1" applyBorder="1">
      <alignment vertical="center"/>
    </xf>
    <xf numFmtId="178" fontId="5" fillId="0" borderId="7" xfId="2" applyNumberFormat="1" applyFont="1" applyBorder="1">
      <alignment vertical="center"/>
    </xf>
    <xf numFmtId="178" fontId="5" fillId="0" borderId="8" xfId="2" applyNumberFormat="1" applyFont="1" applyBorder="1">
      <alignment vertical="center"/>
    </xf>
    <xf numFmtId="178" fontId="5" fillId="0" borderId="9" xfId="2" applyNumberFormat="1" applyFont="1" applyBorder="1">
      <alignment vertical="center"/>
    </xf>
    <xf numFmtId="178" fontId="5" fillId="0" borderId="10" xfId="1" applyNumberFormat="1" applyFont="1" applyBorder="1" applyAlignment="1">
      <alignment horizontal="center" vertical="center"/>
    </xf>
    <xf numFmtId="178" fontId="5" fillId="0" borderId="10" xfId="2" applyNumberFormat="1" applyFont="1" applyBorder="1" applyAlignment="1">
      <alignment horizontal="right" vertical="center"/>
    </xf>
    <xf numFmtId="0" fontId="3" fillId="0" borderId="11" xfId="1" applyFont="1" applyBorder="1">
      <alignment vertical="center"/>
    </xf>
    <xf numFmtId="0" fontId="3" fillId="0" borderId="12" xfId="1" applyFont="1" applyBorder="1">
      <alignment vertical="center"/>
    </xf>
    <xf numFmtId="0" fontId="3" fillId="0" borderId="13" xfId="1" applyFont="1" applyBorder="1">
      <alignment vertical="center"/>
    </xf>
    <xf numFmtId="0" fontId="5" fillId="4" borderId="16" xfId="1" applyFont="1" applyFill="1" applyBorder="1" applyAlignment="1">
      <alignment horizontal="center" vertical="center"/>
    </xf>
    <xf numFmtId="177" fontId="3" fillId="0" borderId="0" xfId="1" applyNumberFormat="1" applyFont="1" applyAlignment="1">
      <alignment vertical="top"/>
    </xf>
    <xf numFmtId="178" fontId="3" fillId="0" borderId="11" xfId="1" applyNumberFormat="1" applyFont="1" applyBorder="1" applyAlignment="1">
      <alignment vertical="top"/>
    </xf>
    <xf numFmtId="0" fontId="3" fillId="0" borderId="14" xfId="1" applyFont="1" applyBorder="1">
      <alignment vertical="center"/>
    </xf>
    <xf numFmtId="0" fontId="6" fillId="0" borderId="11" xfId="1" applyFont="1" applyBorder="1">
      <alignment vertical="center"/>
    </xf>
    <xf numFmtId="0" fontId="3" fillId="0" borderId="14" xfId="1" applyFont="1" applyBorder="1" applyAlignment="1">
      <alignment horizontal="center" vertical="center"/>
    </xf>
    <xf numFmtId="176" fontId="3" fillId="0" borderId="0" xfId="1" applyNumberFormat="1" applyFont="1" applyAlignment="1">
      <alignment horizontal="center" vertical="center"/>
    </xf>
    <xf numFmtId="178" fontId="4" fillId="0" borderId="18" xfId="1" applyNumberFormat="1" applyFont="1" applyBorder="1">
      <alignment vertical="center"/>
    </xf>
    <xf numFmtId="178" fontId="5" fillId="0" borderId="19" xfId="2" applyNumberFormat="1" applyFont="1" applyBorder="1">
      <alignment vertical="center"/>
    </xf>
    <xf numFmtId="9" fontId="5" fillId="0" borderId="20" xfId="3" applyFont="1" applyBorder="1" applyAlignment="1">
      <alignment horizontal="center" vertical="center"/>
    </xf>
    <xf numFmtId="178" fontId="5" fillId="0" borderId="20" xfId="2" applyNumberFormat="1" applyFont="1" applyBorder="1">
      <alignment vertical="center"/>
    </xf>
    <xf numFmtId="178" fontId="3" fillId="0" borderId="15" xfId="1" applyNumberFormat="1" applyFont="1" applyBorder="1">
      <alignment vertical="center"/>
    </xf>
    <xf numFmtId="178" fontId="3" fillId="0" borderId="21" xfId="1" applyNumberFormat="1" applyFont="1" applyBorder="1">
      <alignment vertical="center"/>
    </xf>
    <xf numFmtId="178" fontId="3" fillId="0" borderId="16" xfId="1" applyNumberFormat="1" applyFont="1" applyBorder="1">
      <alignment vertical="center"/>
    </xf>
    <xf numFmtId="176" fontId="3" fillId="0" borderId="14" xfId="2" applyNumberFormat="1" applyFont="1" applyFill="1" applyBorder="1" applyAlignment="1">
      <alignment vertical="center"/>
    </xf>
    <xf numFmtId="178" fontId="4" fillId="0" borderId="22" xfId="1" applyNumberFormat="1" applyFont="1" applyBorder="1">
      <alignment vertical="center"/>
    </xf>
    <xf numFmtId="178" fontId="5" fillId="0" borderId="22" xfId="2" applyNumberFormat="1" applyFont="1" applyBorder="1">
      <alignment vertical="center"/>
    </xf>
    <xf numFmtId="9" fontId="5" fillId="0" borderId="23" xfId="3" applyFont="1" applyBorder="1" applyAlignment="1">
      <alignment horizontal="center" vertical="center"/>
    </xf>
    <xf numFmtId="178" fontId="5" fillId="0" borderId="23" xfId="2" applyNumberFormat="1" applyFont="1" applyBorder="1">
      <alignment vertical="center"/>
    </xf>
    <xf numFmtId="0" fontId="9" fillId="0" borderId="0" xfId="1" applyFont="1">
      <alignment vertical="center"/>
    </xf>
    <xf numFmtId="0" fontId="10" fillId="0" borderId="0" xfId="1" applyFont="1" applyAlignment="1">
      <alignment horizontal="center"/>
    </xf>
    <xf numFmtId="0" fontId="3" fillId="0" borderId="11" xfId="1" applyFont="1" applyBorder="1" applyAlignment="1">
      <alignment horizontal="center" vertical="center" shrinkToFit="1"/>
    </xf>
    <xf numFmtId="178" fontId="4" fillId="0" borderId="24" xfId="1" applyNumberFormat="1" applyFont="1" applyBorder="1">
      <alignment vertical="center"/>
    </xf>
    <xf numFmtId="178" fontId="5" fillId="0" borderId="24" xfId="2" applyNumberFormat="1" applyFont="1" applyBorder="1">
      <alignment vertical="center"/>
    </xf>
    <xf numFmtId="9" fontId="5" fillId="0" borderId="25" xfId="3" applyFont="1" applyBorder="1" applyAlignment="1">
      <alignment horizontal="center" vertical="center"/>
    </xf>
    <xf numFmtId="178" fontId="5" fillId="0" borderId="25" xfId="2" applyNumberFormat="1" applyFont="1" applyBorder="1">
      <alignment vertical="center"/>
    </xf>
    <xf numFmtId="0" fontId="9" fillId="2" borderId="0" xfId="1" applyFont="1" applyFill="1">
      <alignment vertical="center"/>
    </xf>
    <xf numFmtId="0" fontId="3" fillId="0" borderId="11" xfId="1" applyFont="1" applyBorder="1" applyAlignment="1">
      <alignment horizontal="center" vertical="center"/>
    </xf>
    <xf numFmtId="178" fontId="5" fillId="8" borderId="29" xfId="1" applyNumberFormat="1" applyFont="1" applyFill="1" applyBorder="1" applyAlignment="1">
      <alignment horizontal="center" vertical="center"/>
    </xf>
    <xf numFmtId="0" fontId="5" fillId="4" borderId="29" xfId="1" applyFont="1" applyFill="1" applyBorder="1" applyAlignment="1">
      <alignment horizontal="center" vertical="center" shrinkToFit="1"/>
    </xf>
    <xf numFmtId="0" fontId="6" fillId="0" borderId="0" xfId="1" applyFont="1" applyAlignment="1">
      <alignment horizontal="right" vertical="center"/>
    </xf>
    <xf numFmtId="0" fontId="11" fillId="0" borderId="0" xfId="1" applyFont="1">
      <alignment vertical="center"/>
    </xf>
    <xf numFmtId="179" fontId="5" fillId="0" borderId="0" xfId="1" applyNumberFormat="1" applyFont="1">
      <alignment vertical="center"/>
    </xf>
    <xf numFmtId="9" fontId="5" fillId="0" borderId="29" xfId="3" applyFont="1" applyFill="1" applyBorder="1" applyAlignment="1">
      <alignment horizontal="center" vertical="center"/>
    </xf>
    <xf numFmtId="0" fontId="5" fillId="0" borderId="29" xfId="1" applyFont="1" applyBorder="1">
      <alignment vertical="center"/>
    </xf>
    <xf numFmtId="0" fontId="3" fillId="4" borderId="15" xfId="1" applyFont="1" applyFill="1" applyBorder="1" applyAlignment="1">
      <alignment horizontal="center" vertical="center"/>
    </xf>
    <xf numFmtId="0" fontId="3" fillId="4" borderId="21" xfId="1" applyFont="1" applyFill="1" applyBorder="1" applyAlignment="1">
      <alignment horizontal="center" vertical="center"/>
    </xf>
    <xf numFmtId="0" fontId="3" fillId="4" borderId="16" xfId="1" applyFont="1" applyFill="1" applyBorder="1" applyAlignment="1">
      <alignment horizontal="center" vertical="center"/>
    </xf>
    <xf numFmtId="0" fontId="12" fillId="0" borderId="0" xfId="1" applyFont="1" applyAlignment="1" applyProtection="1">
      <alignment horizontal="center" vertical="center"/>
      <protection locked="0"/>
    </xf>
    <xf numFmtId="179" fontId="3" fillId="0" borderId="0" xfId="1" applyNumberFormat="1" applyFont="1" applyAlignment="1" applyProtection="1">
      <alignment horizontal="right" vertical="center"/>
      <protection locked="0"/>
    </xf>
    <xf numFmtId="0" fontId="3" fillId="0" borderId="0" xfId="1" applyFont="1" applyAlignment="1" applyProtection="1">
      <alignment horizontal="center" vertical="center"/>
      <protection locked="0"/>
    </xf>
    <xf numFmtId="178" fontId="5" fillId="0" borderId="18" xfId="2" applyNumberFormat="1" applyFont="1" applyBorder="1">
      <alignment vertical="center"/>
    </xf>
    <xf numFmtId="9" fontId="5" fillId="0" borderId="30" xfId="3" applyFont="1" applyBorder="1" applyAlignment="1">
      <alignment horizontal="center" vertical="center"/>
    </xf>
    <xf numFmtId="178" fontId="5" fillId="0" borderId="31" xfId="2" applyNumberFormat="1" applyFont="1" applyBorder="1">
      <alignment vertical="center"/>
    </xf>
    <xf numFmtId="0" fontId="5" fillId="0" borderId="29" xfId="1" applyFont="1" applyBorder="1" applyAlignment="1">
      <alignment horizontal="center" vertical="center"/>
    </xf>
    <xf numFmtId="9" fontId="5" fillId="0" borderId="32" xfId="3" applyFont="1" applyBorder="1" applyAlignment="1">
      <alignment horizontal="center" vertical="center"/>
    </xf>
    <xf numFmtId="178" fontId="5" fillId="0" borderId="29" xfId="1" applyNumberFormat="1" applyFont="1" applyBorder="1">
      <alignment vertical="center"/>
    </xf>
    <xf numFmtId="0" fontId="5" fillId="0" borderId="29" xfId="1" applyFont="1" applyBorder="1" applyAlignment="1">
      <alignment vertical="center" shrinkToFit="1"/>
    </xf>
    <xf numFmtId="0" fontId="11" fillId="0" borderId="0" xfId="1" applyFont="1" applyAlignment="1">
      <alignment vertical="center" wrapText="1"/>
    </xf>
    <xf numFmtId="0" fontId="5" fillId="4" borderId="29" xfId="1" applyFont="1" applyFill="1" applyBorder="1" applyAlignment="1">
      <alignment horizontal="center" vertical="center"/>
    </xf>
    <xf numFmtId="0" fontId="12" fillId="2" borderId="0" xfId="1" applyFont="1" applyFill="1" applyAlignment="1" applyProtection="1">
      <alignment horizontal="center" vertical="center"/>
      <protection locked="0"/>
    </xf>
    <xf numFmtId="179" fontId="5" fillId="0" borderId="0" xfId="1" applyNumberFormat="1" applyFont="1" applyAlignment="1">
      <alignment horizontal="right" vertical="center"/>
    </xf>
    <xf numFmtId="0" fontId="12" fillId="0" borderId="0" xfId="1" applyFont="1" applyAlignment="1">
      <alignment horizontal="center" vertical="center"/>
    </xf>
    <xf numFmtId="9" fontId="5" fillId="0" borderId="33" xfId="3" applyFont="1" applyBorder="1" applyAlignment="1">
      <alignment horizontal="center" vertical="center"/>
    </xf>
    <xf numFmtId="178" fontId="5" fillId="0" borderId="25" xfId="1" applyNumberFormat="1" applyFont="1" applyBorder="1">
      <alignment vertical="center"/>
    </xf>
    <xf numFmtId="180" fontId="5" fillId="0" borderId="29" xfId="1" applyNumberFormat="1" applyFont="1" applyBorder="1" applyAlignment="1">
      <alignment horizontal="center" vertical="center"/>
    </xf>
    <xf numFmtId="178" fontId="4" fillId="0" borderId="0" xfId="1" applyNumberFormat="1" applyFont="1">
      <alignment vertical="center"/>
    </xf>
    <xf numFmtId="178" fontId="5" fillId="8" borderId="41" xfId="2" applyNumberFormat="1" applyFont="1" applyFill="1" applyBorder="1">
      <alignment vertical="center"/>
    </xf>
    <xf numFmtId="178" fontId="5" fillId="0" borderId="41" xfId="2" applyNumberFormat="1" applyFont="1" applyBorder="1">
      <alignment vertical="center"/>
    </xf>
    <xf numFmtId="9" fontId="5" fillId="0" borderId="41" xfId="3" applyFont="1" applyBorder="1" applyAlignment="1">
      <alignment horizontal="center" vertical="center"/>
    </xf>
    <xf numFmtId="178" fontId="5" fillId="0" borderId="5" xfId="2" applyNumberFormat="1" applyFont="1" applyBorder="1">
      <alignment vertical="center"/>
    </xf>
    <xf numFmtId="178" fontId="5" fillId="0" borderId="29" xfId="1" applyNumberFormat="1" applyFont="1" applyBorder="1" applyAlignment="1">
      <alignment horizontal="right" vertical="center"/>
    </xf>
    <xf numFmtId="0" fontId="12" fillId="0" borderId="29" xfId="1" applyFont="1" applyBorder="1" applyAlignment="1" applyProtection="1">
      <alignment horizontal="center" vertical="center"/>
      <protection locked="0"/>
    </xf>
    <xf numFmtId="178" fontId="5" fillId="9" borderId="42" xfId="2" applyNumberFormat="1" applyFont="1" applyFill="1" applyBorder="1">
      <alignment vertical="center"/>
    </xf>
    <xf numFmtId="178" fontId="5" fillId="8" borderId="42" xfId="2" applyNumberFormat="1" applyFont="1" applyFill="1" applyBorder="1">
      <alignment vertical="center"/>
    </xf>
    <xf numFmtId="178" fontId="5" fillId="0" borderId="42" xfId="2" applyNumberFormat="1" applyFont="1" applyBorder="1">
      <alignment vertical="center"/>
    </xf>
    <xf numFmtId="9" fontId="5" fillId="0" borderId="42" xfId="3" applyFont="1" applyBorder="1" applyAlignment="1">
      <alignment horizontal="center" vertical="center"/>
    </xf>
    <xf numFmtId="0" fontId="4" fillId="2" borderId="0" xfId="1" applyFont="1" applyFill="1" applyAlignment="1">
      <alignment horizontal="center" vertical="center"/>
    </xf>
    <xf numFmtId="178" fontId="5" fillId="8" borderId="50" xfId="2" applyNumberFormat="1" applyFont="1" applyFill="1" applyBorder="1">
      <alignment vertical="center"/>
    </xf>
    <xf numFmtId="178" fontId="5" fillId="9" borderId="50" xfId="2" applyNumberFormat="1" applyFont="1" applyFill="1" applyBorder="1">
      <alignment vertical="center"/>
    </xf>
    <xf numFmtId="178" fontId="5" fillId="0" borderId="50" xfId="1" applyNumberFormat="1" applyFont="1" applyBorder="1">
      <alignment vertical="center"/>
    </xf>
    <xf numFmtId="9" fontId="5" fillId="0" borderId="50" xfId="3" applyFont="1" applyBorder="1" applyAlignment="1">
      <alignment horizontal="center" vertical="center"/>
    </xf>
    <xf numFmtId="178" fontId="5" fillId="0" borderId="10" xfId="1" applyNumberFormat="1" applyFont="1" applyBorder="1">
      <alignment vertical="center"/>
    </xf>
    <xf numFmtId="0" fontId="5" fillId="8" borderId="29" xfId="1" applyFont="1" applyFill="1" applyBorder="1" applyAlignment="1">
      <alignment horizontal="center" vertical="center"/>
    </xf>
    <xf numFmtId="0" fontId="5" fillId="0" borderId="0" xfId="1" applyFont="1" applyAlignment="1">
      <alignment horizontal="center" vertical="center" wrapText="1"/>
    </xf>
    <xf numFmtId="0" fontId="14" fillId="0" borderId="0" xfId="1" quotePrefix="1" applyFont="1">
      <alignment vertical="center"/>
    </xf>
    <xf numFmtId="0" fontId="14" fillId="0" borderId="0" xfId="1" applyFont="1">
      <alignment vertical="center"/>
    </xf>
    <xf numFmtId="0" fontId="15" fillId="0" borderId="0" xfId="1" applyFont="1">
      <alignment vertical="center"/>
    </xf>
    <xf numFmtId="178" fontId="15" fillId="13" borderId="29" xfId="2" applyNumberFormat="1" applyFont="1" applyFill="1" applyBorder="1">
      <alignment vertical="center"/>
    </xf>
    <xf numFmtId="178" fontId="15" fillId="13" borderId="29" xfId="1" applyNumberFormat="1" applyFont="1" applyFill="1" applyBorder="1">
      <alignment vertical="center"/>
    </xf>
    <xf numFmtId="0" fontId="15" fillId="0" borderId="29" xfId="1" applyFont="1" applyBorder="1" applyAlignment="1">
      <alignment horizontal="center" vertical="center"/>
    </xf>
    <xf numFmtId="0" fontId="15" fillId="0" borderId="55" xfId="1" applyFont="1" applyBorder="1">
      <alignment vertical="center"/>
    </xf>
    <xf numFmtId="10" fontId="15" fillId="13" borderId="29" xfId="3" applyNumberFormat="1" applyFont="1" applyFill="1" applyBorder="1" applyProtection="1">
      <alignment vertical="center"/>
    </xf>
    <xf numFmtId="0" fontId="18" fillId="0" borderId="0" xfId="1" applyFont="1">
      <alignment vertical="center"/>
    </xf>
    <xf numFmtId="0" fontId="5" fillId="2" borderId="0" xfId="1" applyFont="1" applyFill="1">
      <alignment vertical="center"/>
    </xf>
    <xf numFmtId="0" fontId="5" fillId="2" borderId="0" xfId="1" applyFont="1" applyFill="1" applyAlignment="1">
      <alignment horizontal="center" vertical="center"/>
    </xf>
    <xf numFmtId="0" fontId="12" fillId="0" borderId="0" xfId="1" applyFont="1">
      <alignment vertical="center"/>
    </xf>
    <xf numFmtId="0" fontId="20" fillId="0" borderId="0" xfId="1" applyFont="1">
      <alignment vertical="center"/>
    </xf>
    <xf numFmtId="0" fontId="3" fillId="0" borderId="56" xfId="1" applyFont="1" applyBorder="1">
      <alignment vertical="center"/>
    </xf>
    <xf numFmtId="0" fontId="3" fillId="0" borderId="57" xfId="1" applyFont="1" applyBorder="1">
      <alignment vertical="center"/>
    </xf>
    <xf numFmtId="0" fontId="3" fillId="0" borderId="58" xfId="1" applyFont="1" applyBorder="1">
      <alignment vertical="center"/>
    </xf>
    <xf numFmtId="0" fontId="3" fillId="0" borderId="59" xfId="1" applyFont="1" applyBorder="1">
      <alignment vertical="center"/>
    </xf>
    <xf numFmtId="0" fontId="3" fillId="0" borderId="40" xfId="1" applyFont="1" applyBorder="1">
      <alignment vertical="center"/>
    </xf>
    <xf numFmtId="0" fontId="21" fillId="16" borderId="0" xfId="1" applyFont="1" applyFill="1">
      <alignment vertical="center"/>
    </xf>
    <xf numFmtId="0" fontId="22" fillId="16" borderId="0" xfId="1" applyFont="1" applyFill="1">
      <alignment vertical="center"/>
    </xf>
    <xf numFmtId="0" fontId="20" fillId="17" borderId="0" xfId="1" applyFont="1" applyFill="1">
      <alignment vertical="center"/>
    </xf>
    <xf numFmtId="0" fontId="20" fillId="0" borderId="60" xfId="1" applyFont="1" applyBorder="1">
      <alignment vertical="center"/>
    </xf>
    <xf numFmtId="0" fontId="11" fillId="0" borderId="40" xfId="1" applyFont="1" applyBorder="1">
      <alignment vertical="center"/>
    </xf>
    <xf numFmtId="0" fontId="23" fillId="16" borderId="0" xfId="1" applyFont="1" applyFill="1">
      <alignment vertical="center"/>
    </xf>
    <xf numFmtId="0" fontId="9" fillId="16" borderId="0" xfId="1" applyFont="1" applyFill="1">
      <alignment vertical="center"/>
    </xf>
    <xf numFmtId="179" fontId="3" fillId="0" borderId="0" xfId="1" applyNumberFormat="1" applyFont="1">
      <alignment vertical="center"/>
    </xf>
    <xf numFmtId="0" fontId="9" fillId="17" borderId="0" xfId="1" applyFont="1" applyFill="1">
      <alignment vertical="center"/>
    </xf>
    <xf numFmtId="0" fontId="24" fillId="0" borderId="0" xfId="1" applyFont="1">
      <alignment vertical="center"/>
    </xf>
    <xf numFmtId="179" fontId="20" fillId="17" borderId="0" xfId="1" applyNumberFormat="1" applyFont="1" applyFill="1">
      <alignment vertical="center"/>
    </xf>
    <xf numFmtId="179" fontId="20" fillId="0" borderId="0" xfId="1" applyNumberFormat="1" applyFont="1">
      <alignment vertical="center"/>
    </xf>
    <xf numFmtId="0" fontId="3" fillId="17" borderId="65" xfId="1" applyFont="1" applyFill="1" applyBorder="1">
      <alignment vertical="center"/>
    </xf>
    <xf numFmtId="179" fontId="24" fillId="17" borderId="0" xfId="1" applyNumberFormat="1" applyFont="1" applyFill="1">
      <alignment vertical="center"/>
    </xf>
    <xf numFmtId="0" fontId="25" fillId="0" borderId="0" xfId="1" applyFont="1">
      <alignment vertical="center"/>
    </xf>
    <xf numFmtId="0" fontId="25" fillId="17" borderId="0" xfId="1" applyFont="1" applyFill="1">
      <alignment vertical="center"/>
    </xf>
    <xf numFmtId="0" fontId="3" fillId="0" borderId="0" xfId="1" applyFont="1" applyProtection="1">
      <alignment vertical="center"/>
      <protection hidden="1"/>
    </xf>
    <xf numFmtId="0" fontId="0" fillId="0" borderId="0" xfId="0" applyProtection="1">
      <protection hidden="1"/>
    </xf>
    <xf numFmtId="0" fontId="5" fillId="0" borderId="0" xfId="1" applyFont="1" applyProtection="1">
      <alignment vertical="center"/>
      <protection hidden="1"/>
    </xf>
    <xf numFmtId="0" fontId="5" fillId="0" borderId="0" xfId="1" applyFont="1" applyAlignment="1" applyProtection="1">
      <alignment horizontal="center" vertical="center"/>
      <protection hidden="1"/>
    </xf>
    <xf numFmtId="0" fontId="4" fillId="0" borderId="0" xfId="1" applyFont="1" applyProtection="1">
      <alignment vertical="center"/>
      <protection hidden="1"/>
    </xf>
    <xf numFmtId="0" fontId="7" fillId="0" borderId="0" xfId="1" applyFont="1" applyProtection="1">
      <alignment vertical="center"/>
      <protection hidden="1"/>
    </xf>
    <xf numFmtId="0" fontId="18" fillId="0" borderId="0" xfId="1" applyFont="1" applyProtection="1">
      <alignment vertical="center"/>
      <protection hidden="1"/>
    </xf>
    <xf numFmtId="0" fontId="15" fillId="0" borderId="0" xfId="1" applyFont="1" applyProtection="1">
      <alignment vertical="center"/>
      <protection hidden="1"/>
    </xf>
    <xf numFmtId="0" fontId="15" fillId="20" borderId="29" xfId="1" applyFont="1" applyFill="1" applyBorder="1" applyAlignment="1" applyProtection="1">
      <alignment horizontal="center" vertical="center"/>
      <protection hidden="1"/>
    </xf>
    <xf numFmtId="10" fontId="15" fillId="13" borderId="29" xfId="3" applyNumberFormat="1" applyFont="1" applyFill="1" applyBorder="1" applyProtection="1">
      <alignment vertical="center"/>
      <protection hidden="1"/>
    </xf>
    <xf numFmtId="178" fontId="15" fillId="13" borderId="29" xfId="1" applyNumberFormat="1" applyFont="1" applyFill="1" applyBorder="1" applyProtection="1">
      <alignment vertical="center"/>
      <protection hidden="1"/>
    </xf>
    <xf numFmtId="0" fontId="3" fillId="0" borderId="0" xfId="1" applyFont="1" applyAlignment="1" applyProtection="1">
      <alignment vertical="center"/>
      <protection hidden="1"/>
    </xf>
    <xf numFmtId="0" fontId="15" fillId="0" borderId="55" xfId="1" applyFont="1" applyBorder="1" applyProtection="1">
      <alignment vertical="center"/>
      <protection hidden="1"/>
    </xf>
    <xf numFmtId="178" fontId="5" fillId="0" borderId="0" xfId="1" applyNumberFormat="1" applyFont="1" applyProtection="1">
      <alignment vertical="center"/>
      <protection hidden="1"/>
    </xf>
    <xf numFmtId="0" fontId="7" fillId="0" borderId="6" xfId="1" applyFont="1" applyBorder="1" applyProtection="1">
      <alignment vertical="center"/>
      <protection hidden="1"/>
    </xf>
    <xf numFmtId="0" fontId="3" fillId="0" borderId="6" xfId="1" applyFont="1" applyBorder="1" applyProtection="1">
      <alignment vertical="center"/>
      <protection hidden="1"/>
    </xf>
    <xf numFmtId="179" fontId="5" fillId="0" borderId="0" xfId="1" applyNumberFormat="1" applyFont="1" applyProtection="1">
      <alignment vertical="center"/>
      <protection hidden="1"/>
    </xf>
    <xf numFmtId="178" fontId="15" fillId="13" borderId="29" xfId="2" applyNumberFormat="1" applyFont="1" applyFill="1" applyBorder="1" applyProtection="1">
      <alignment vertical="center"/>
      <protection hidden="1"/>
    </xf>
    <xf numFmtId="0" fontId="6" fillId="0" borderId="0" xfId="1" applyFont="1" applyProtection="1">
      <alignment vertical="center"/>
      <protection hidden="1"/>
    </xf>
    <xf numFmtId="0" fontId="7" fillId="0" borderId="0" xfId="1" applyFont="1" applyAlignment="1" applyProtection="1">
      <alignment horizontal="center" vertical="center"/>
      <protection hidden="1"/>
    </xf>
    <xf numFmtId="0" fontId="4" fillId="0" borderId="0" xfId="1" applyFont="1" applyAlignment="1" applyProtection="1">
      <alignment horizontal="center" vertical="center"/>
      <protection hidden="1"/>
    </xf>
    <xf numFmtId="0" fontId="5" fillId="0" borderId="0" xfId="1" applyFont="1" applyAlignment="1" applyProtection="1">
      <alignment horizontal="center" vertical="center" wrapText="1"/>
      <protection hidden="1"/>
    </xf>
    <xf numFmtId="0" fontId="3" fillId="0" borderId="0" xfId="1" applyFont="1" applyAlignment="1" applyProtection="1">
      <alignment horizontal="center" vertical="center"/>
      <protection hidden="1"/>
    </xf>
    <xf numFmtId="0" fontId="14" fillId="0" borderId="0" xfId="1" quotePrefix="1" applyFont="1" applyProtection="1">
      <alignment vertical="center"/>
      <protection hidden="1"/>
    </xf>
    <xf numFmtId="0" fontId="14" fillId="0" borderId="0" xfId="1" applyFont="1" applyProtection="1">
      <alignment vertical="center"/>
      <protection hidden="1"/>
    </xf>
    <xf numFmtId="0" fontId="12" fillId="0" borderId="0" xfId="1" applyFont="1" applyAlignment="1" applyProtection="1">
      <alignment horizontal="center" vertical="center"/>
      <protection hidden="1"/>
    </xf>
    <xf numFmtId="176" fontId="3" fillId="0" borderId="0" xfId="1" applyNumberFormat="1" applyFont="1" applyProtection="1">
      <alignment vertical="center"/>
      <protection hidden="1"/>
    </xf>
    <xf numFmtId="0" fontId="12" fillId="0" borderId="29" xfId="1" applyFont="1" applyBorder="1" applyAlignment="1" applyProtection="1">
      <alignment horizontal="center" vertical="center"/>
      <protection locked="0" hidden="1"/>
    </xf>
    <xf numFmtId="178" fontId="5" fillId="0" borderId="29" xfId="1" applyNumberFormat="1" applyFont="1" applyBorder="1" applyAlignment="1" applyProtection="1">
      <alignment horizontal="right" vertical="center"/>
      <protection hidden="1"/>
    </xf>
    <xf numFmtId="0" fontId="5" fillId="0" borderId="29" xfId="1" applyFont="1" applyBorder="1" applyAlignment="1" applyProtection="1">
      <alignment horizontal="center" vertical="center"/>
      <protection hidden="1"/>
    </xf>
    <xf numFmtId="178" fontId="5" fillId="0" borderId="29" xfId="1" applyNumberFormat="1" applyFont="1" applyBorder="1" applyProtection="1">
      <alignment vertical="center"/>
      <protection hidden="1"/>
    </xf>
    <xf numFmtId="0" fontId="12" fillId="0" borderId="0" xfId="1" applyFont="1" applyAlignment="1" applyProtection="1">
      <alignment horizontal="center" vertical="center"/>
      <protection locked="0" hidden="1"/>
    </xf>
    <xf numFmtId="179" fontId="5" fillId="0" borderId="0" xfId="1" applyNumberFormat="1" applyFont="1" applyAlignment="1" applyProtection="1">
      <alignment horizontal="right" vertical="center"/>
      <protection hidden="1"/>
    </xf>
    <xf numFmtId="0" fontId="11" fillId="0" borderId="0" xfId="1" applyFont="1" applyAlignment="1" applyProtection="1">
      <alignment vertical="center" wrapText="1"/>
      <protection hidden="1"/>
    </xf>
    <xf numFmtId="0" fontId="11" fillId="0" borderId="0" xfId="1" applyFont="1" applyAlignment="1" applyProtection="1">
      <alignment vertical="center"/>
      <protection hidden="1"/>
    </xf>
    <xf numFmtId="180" fontId="5" fillId="0" borderId="29" xfId="1" applyNumberFormat="1" applyFont="1" applyBorder="1" applyAlignment="1" applyProtection="1">
      <alignment horizontal="center" vertical="center"/>
      <protection hidden="1"/>
    </xf>
    <xf numFmtId="0" fontId="5" fillId="20" borderId="29" xfId="1" applyFont="1" applyFill="1" applyBorder="1" applyAlignment="1" applyProtection="1">
      <alignment horizontal="center" vertical="center"/>
      <protection hidden="1"/>
    </xf>
    <xf numFmtId="0" fontId="11" fillId="0" borderId="0" xfId="1" applyFont="1" applyAlignment="1" applyProtection="1">
      <alignment horizontal="left" vertical="center"/>
      <protection hidden="1"/>
    </xf>
    <xf numFmtId="0" fontId="5" fillId="0" borderId="29" xfId="1" applyFont="1" applyBorder="1" applyAlignment="1" applyProtection="1">
      <alignment vertical="center" shrinkToFit="1"/>
      <protection hidden="1"/>
    </xf>
    <xf numFmtId="0" fontId="11" fillId="0" borderId="0" xfId="1" applyFont="1" applyProtection="1">
      <alignment vertical="center"/>
      <protection hidden="1"/>
    </xf>
    <xf numFmtId="0" fontId="3" fillId="0" borderId="0" xfId="1" applyFont="1" applyAlignment="1" applyProtection="1">
      <alignment horizontal="center" vertical="center"/>
      <protection locked="0" hidden="1"/>
    </xf>
    <xf numFmtId="179" fontId="3" fillId="0" borderId="0" xfId="1" applyNumberFormat="1" applyFont="1" applyAlignment="1" applyProtection="1">
      <alignment horizontal="right" vertical="center"/>
      <protection locked="0" hidden="1"/>
    </xf>
    <xf numFmtId="0" fontId="9" fillId="0" borderId="0" xfId="1" applyFont="1" applyProtection="1">
      <alignment vertical="center"/>
      <protection hidden="1"/>
    </xf>
    <xf numFmtId="0" fontId="5" fillId="0" borderId="29" xfId="1" applyFont="1" applyBorder="1" applyProtection="1">
      <alignment vertical="center"/>
      <protection hidden="1"/>
    </xf>
    <xf numFmtId="0" fontId="6" fillId="0" borderId="0" xfId="1" applyFont="1" applyAlignment="1" applyProtection="1">
      <alignment horizontal="right" vertical="center"/>
      <protection hidden="1"/>
    </xf>
    <xf numFmtId="9" fontId="5" fillId="0" borderId="29" xfId="3" applyFont="1" applyFill="1" applyBorder="1" applyAlignment="1" applyProtection="1">
      <alignment horizontal="center" vertical="center"/>
      <protection hidden="1"/>
    </xf>
    <xf numFmtId="178" fontId="5" fillId="0" borderId="10" xfId="1" applyNumberFormat="1" applyFont="1" applyBorder="1" applyProtection="1">
      <alignment vertical="center"/>
      <protection hidden="1"/>
    </xf>
    <xf numFmtId="9" fontId="5" fillId="0" borderId="50" xfId="3" applyFont="1" applyBorder="1" applyAlignment="1" applyProtection="1">
      <alignment horizontal="center" vertical="center"/>
      <protection hidden="1"/>
    </xf>
    <xf numFmtId="178" fontId="5" fillId="0" borderId="50" xfId="1" applyNumberFormat="1" applyFont="1" applyBorder="1" applyProtection="1">
      <alignment vertical="center"/>
      <protection hidden="1"/>
    </xf>
    <xf numFmtId="178" fontId="5" fillId="20" borderId="50" xfId="2" applyNumberFormat="1" applyFont="1" applyFill="1" applyBorder="1" applyProtection="1">
      <alignment vertical="center"/>
      <protection hidden="1"/>
    </xf>
    <xf numFmtId="178" fontId="5" fillId="0" borderId="8" xfId="2" applyNumberFormat="1" applyFont="1" applyBorder="1" applyProtection="1">
      <alignment vertical="center"/>
      <protection hidden="1"/>
    </xf>
    <xf numFmtId="9" fontId="5" fillId="0" borderId="42" xfId="3" applyFont="1" applyBorder="1" applyAlignment="1" applyProtection="1">
      <alignment horizontal="center" vertical="center"/>
      <protection hidden="1"/>
    </xf>
    <xf numFmtId="178" fontId="5" fillId="0" borderId="42" xfId="2" applyNumberFormat="1" applyFont="1" applyBorder="1" applyProtection="1">
      <alignment vertical="center"/>
      <protection hidden="1"/>
    </xf>
    <xf numFmtId="178" fontId="5" fillId="20" borderId="42" xfId="2" applyNumberFormat="1" applyFont="1" applyFill="1" applyBorder="1" applyProtection="1">
      <alignment vertical="center"/>
      <protection hidden="1"/>
    </xf>
    <xf numFmtId="0" fontId="7" fillId="0" borderId="0" xfId="1" applyFont="1" applyFill="1" applyAlignment="1" applyProtection="1">
      <alignment horizontal="left" vertical="center"/>
      <protection hidden="1"/>
    </xf>
    <xf numFmtId="0" fontId="7" fillId="0" borderId="0" xfId="1" applyFont="1" applyAlignment="1" applyProtection="1">
      <alignment horizontal="left" vertical="center"/>
      <protection hidden="1"/>
    </xf>
    <xf numFmtId="0" fontId="7" fillId="0" borderId="0" xfId="1" applyFont="1" applyBorder="1" applyProtection="1">
      <alignment vertical="center"/>
      <protection hidden="1"/>
    </xf>
    <xf numFmtId="0" fontId="3" fillId="0" borderId="0" xfId="1" applyFont="1" applyBorder="1" applyProtection="1">
      <alignment vertical="center"/>
      <protection hidden="1"/>
    </xf>
    <xf numFmtId="177" fontId="3" fillId="0" borderId="0" xfId="1" applyNumberFormat="1" applyFont="1" applyBorder="1" applyAlignment="1" applyProtection="1">
      <alignment horizontal="center" vertical="center" shrinkToFit="1"/>
      <protection hidden="1"/>
    </xf>
    <xf numFmtId="176" fontId="3" fillId="0" borderId="0" xfId="2" applyNumberFormat="1" applyFont="1" applyFill="1" applyBorder="1" applyAlignment="1" applyProtection="1">
      <alignment vertical="center"/>
      <protection hidden="1"/>
    </xf>
    <xf numFmtId="178" fontId="5" fillId="0" borderId="5" xfId="2" applyNumberFormat="1" applyFont="1" applyBorder="1" applyProtection="1">
      <alignment vertical="center"/>
      <protection hidden="1"/>
    </xf>
    <xf numFmtId="9" fontId="5" fillId="0" borderId="41" xfId="3" applyFont="1" applyBorder="1" applyAlignment="1" applyProtection="1">
      <alignment horizontal="center" vertical="center"/>
      <protection hidden="1"/>
    </xf>
    <xf numFmtId="178" fontId="5" fillId="0" borderId="41" xfId="2" applyNumberFormat="1" applyFont="1" applyBorder="1" applyProtection="1">
      <alignment vertical="center"/>
      <protection hidden="1"/>
    </xf>
    <xf numFmtId="178" fontId="5" fillId="20" borderId="41" xfId="2" applyNumberFormat="1" applyFont="1" applyFill="1" applyBorder="1" applyProtection="1">
      <alignment vertical="center"/>
      <protection hidden="1"/>
    </xf>
    <xf numFmtId="178" fontId="4" fillId="0" borderId="0" xfId="1" applyNumberFormat="1" applyFont="1" applyProtection="1">
      <alignment vertical="center"/>
      <protection hidden="1"/>
    </xf>
    <xf numFmtId="0" fontId="5" fillId="20" borderId="29" xfId="1" applyFont="1" applyFill="1" applyBorder="1" applyAlignment="1" applyProtection="1">
      <alignment horizontal="center" vertical="center" shrinkToFit="1"/>
      <protection hidden="1"/>
    </xf>
    <xf numFmtId="178" fontId="5" fillId="20" borderId="29" xfId="1" applyNumberFormat="1" applyFont="1" applyFill="1" applyBorder="1" applyAlignment="1" applyProtection="1">
      <alignment horizontal="center" vertical="center"/>
      <protection hidden="1"/>
    </xf>
    <xf numFmtId="178" fontId="5" fillId="0" borderId="25" xfId="1" applyNumberFormat="1" applyFont="1" applyBorder="1" applyProtection="1">
      <alignment vertical="center"/>
      <protection hidden="1"/>
    </xf>
    <xf numFmtId="9" fontId="5" fillId="0" borderId="33" xfId="3" applyFont="1" applyBorder="1" applyAlignment="1" applyProtection="1">
      <alignment horizontal="center" vertical="center"/>
      <protection hidden="1"/>
    </xf>
    <xf numFmtId="178" fontId="5" fillId="0" borderId="24" xfId="2" applyNumberFormat="1" applyFont="1" applyBorder="1" applyProtection="1">
      <alignment vertical="center"/>
      <protection hidden="1"/>
    </xf>
    <xf numFmtId="178" fontId="4" fillId="0" borderId="24" xfId="1" applyNumberFormat="1" applyFont="1" applyBorder="1" applyProtection="1">
      <alignment vertical="center"/>
      <protection hidden="1"/>
    </xf>
    <xf numFmtId="178" fontId="5" fillId="0" borderId="69" xfId="1" applyNumberFormat="1" applyFont="1" applyBorder="1" applyProtection="1">
      <alignment vertical="center"/>
      <protection hidden="1"/>
    </xf>
    <xf numFmtId="9" fontId="5" fillId="0" borderId="70" xfId="3" applyFont="1" applyBorder="1" applyAlignment="1" applyProtection="1">
      <alignment horizontal="center" vertical="center"/>
      <protection hidden="1"/>
    </xf>
    <xf numFmtId="178" fontId="5" fillId="0" borderId="71" xfId="2" applyNumberFormat="1" applyFont="1" applyBorder="1" applyProtection="1">
      <alignment vertical="center"/>
      <protection hidden="1"/>
    </xf>
    <xf numFmtId="178" fontId="4" fillId="0" borderId="71" xfId="1" applyNumberFormat="1" applyFont="1" applyBorder="1" applyProtection="1">
      <alignment vertical="center"/>
      <protection hidden="1"/>
    </xf>
    <xf numFmtId="178" fontId="5" fillId="0" borderId="23" xfId="2" applyNumberFormat="1" applyFont="1" applyBorder="1" applyProtection="1">
      <alignment vertical="center"/>
      <protection hidden="1"/>
    </xf>
    <xf numFmtId="9" fontId="5" fillId="0" borderId="32" xfId="3" applyFont="1" applyBorder="1" applyAlignment="1" applyProtection="1">
      <alignment horizontal="center" vertical="center"/>
      <protection hidden="1"/>
    </xf>
    <xf numFmtId="178" fontId="5" fillId="0" borderId="22" xfId="2" applyNumberFormat="1" applyFont="1" applyBorder="1" applyProtection="1">
      <alignment vertical="center"/>
      <protection hidden="1"/>
    </xf>
    <xf numFmtId="178" fontId="4" fillId="0" borderId="22" xfId="1" applyNumberFormat="1" applyFont="1" applyBorder="1" applyProtection="1">
      <alignment vertical="center"/>
      <protection hidden="1"/>
    </xf>
    <xf numFmtId="178" fontId="5" fillId="0" borderId="31" xfId="2" applyNumberFormat="1" applyFont="1" applyBorder="1" applyProtection="1">
      <alignment vertical="center"/>
      <protection hidden="1"/>
    </xf>
    <xf numFmtId="9" fontId="5" fillId="0" borderId="30" xfId="3" applyFont="1" applyBorder="1" applyAlignment="1" applyProtection="1">
      <alignment horizontal="center" vertical="center"/>
      <protection hidden="1"/>
    </xf>
    <xf numFmtId="178" fontId="5" fillId="0" borderId="18" xfId="2" applyNumberFormat="1" applyFont="1" applyBorder="1" applyProtection="1">
      <alignment vertical="center"/>
      <protection hidden="1"/>
    </xf>
    <xf numFmtId="178" fontId="4" fillId="0" borderId="18" xfId="1" applyNumberFormat="1" applyFont="1" applyBorder="1" applyProtection="1">
      <alignment vertical="center"/>
      <protection hidden="1"/>
    </xf>
    <xf numFmtId="178" fontId="5" fillId="0" borderId="25" xfId="2" applyNumberFormat="1" applyFont="1" applyBorder="1" applyProtection="1">
      <alignment vertical="center"/>
      <protection hidden="1"/>
    </xf>
    <xf numFmtId="9" fontId="5" fillId="0" borderId="25" xfId="3" applyFont="1" applyBorder="1" applyAlignment="1" applyProtection="1">
      <alignment horizontal="center" vertical="center"/>
      <protection hidden="1"/>
    </xf>
    <xf numFmtId="9" fontId="5" fillId="0" borderId="23" xfId="3" applyFont="1" applyBorder="1" applyAlignment="1" applyProtection="1">
      <alignment horizontal="center" vertical="center"/>
      <protection hidden="1"/>
    </xf>
    <xf numFmtId="178" fontId="5" fillId="0" borderId="20" xfId="2" applyNumberFormat="1" applyFont="1" applyBorder="1" applyProtection="1">
      <alignment vertical="center"/>
      <protection hidden="1"/>
    </xf>
    <xf numFmtId="9" fontId="5" fillId="0" borderId="20" xfId="3" applyFont="1" applyBorder="1" applyAlignment="1" applyProtection="1">
      <alignment horizontal="center" vertical="center"/>
      <protection hidden="1"/>
    </xf>
    <xf numFmtId="178" fontId="5" fillId="0" borderId="19" xfId="2" applyNumberFormat="1" applyFont="1" applyBorder="1" applyProtection="1">
      <alignment vertical="center"/>
      <protection hidden="1"/>
    </xf>
    <xf numFmtId="178" fontId="5" fillId="0" borderId="10" xfId="2" applyNumberFormat="1" applyFont="1" applyBorder="1" applyAlignment="1" applyProtection="1">
      <alignment horizontal="right" vertical="center"/>
      <protection hidden="1"/>
    </xf>
    <xf numFmtId="178" fontId="5" fillId="0" borderId="10" xfId="1" applyNumberFormat="1" applyFont="1" applyBorder="1" applyAlignment="1" applyProtection="1">
      <alignment horizontal="center" vertical="center"/>
      <protection hidden="1"/>
    </xf>
    <xf numFmtId="178" fontId="5" fillId="0" borderId="9" xfId="2" applyNumberFormat="1" applyFont="1" applyBorder="1" applyProtection="1">
      <alignment vertical="center"/>
      <protection hidden="1"/>
    </xf>
    <xf numFmtId="178" fontId="5" fillId="0" borderId="8" xfId="1" applyNumberFormat="1" applyFont="1" applyBorder="1" applyAlignment="1" applyProtection="1">
      <alignment horizontal="center" vertical="center"/>
      <protection hidden="1"/>
    </xf>
    <xf numFmtId="178" fontId="5" fillId="0" borderId="7" xfId="2" applyNumberFormat="1" applyFont="1" applyBorder="1" applyProtection="1">
      <alignment vertical="center"/>
      <protection hidden="1"/>
    </xf>
    <xf numFmtId="178" fontId="5" fillId="0" borderId="8" xfId="2" applyNumberFormat="1" applyFont="1" applyFill="1" applyBorder="1" applyProtection="1">
      <alignment vertical="center"/>
      <protection hidden="1"/>
    </xf>
    <xf numFmtId="178" fontId="5" fillId="0" borderId="7" xfId="2" applyNumberFormat="1" applyFont="1" applyFill="1" applyBorder="1" applyProtection="1">
      <alignment vertical="center"/>
      <protection hidden="1"/>
    </xf>
    <xf numFmtId="178" fontId="5" fillId="0" borderId="5" xfId="2" applyNumberFormat="1" applyFont="1" applyFill="1" applyBorder="1" applyProtection="1">
      <alignment vertical="center"/>
      <protection hidden="1"/>
    </xf>
    <xf numFmtId="178" fontId="5" fillId="0" borderId="5" xfId="1" applyNumberFormat="1" applyFont="1" applyBorder="1" applyAlignment="1" applyProtection="1">
      <alignment horizontal="center" vertical="center"/>
      <protection hidden="1"/>
    </xf>
    <xf numFmtId="178" fontId="5" fillId="0" borderId="4" xfId="1" applyNumberFormat="1" applyFont="1" applyBorder="1" applyProtection="1">
      <alignment vertical="center"/>
      <protection hidden="1"/>
    </xf>
    <xf numFmtId="0" fontId="15" fillId="20" borderId="29" xfId="1" applyFont="1" applyFill="1" applyBorder="1" applyAlignment="1" applyProtection="1">
      <alignment horizontal="center" vertical="center"/>
      <protection hidden="1"/>
    </xf>
    <xf numFmtId="0" fontId="5" fillId="20" borderId="29" xfId="1" applyFont="1" applyFill="1" applyBorder="1" applyAlignment="1" applyProtection="1">
      <alignment horizontal="center" vertical="center" wrapText="1"/>
      <protection hidden="1"/>
    </xf>
    <xf numFmtId="0" fontId="5" fillId="20" borderId="16" xfId="1" applyFont="1" applyFill="1" applyBorder="1" applyAlignment="1" applyProtection="1">
      <alignment horizontal="center" vertical="center"/>
      <protection hidden="1"/>
    </xf>
    <xf numFmtId="0" fontId="5" fillId="20" borderId="15" xfId="1" applyFont="1" applyFill="1" applyBorder="1" applyAlignment="1" applyProtection="1">
      <alignment horizontal="center" vertical="center"/>
      <protection hidden="1"/>
    </xf>
    <xf numFmtId="178" fontId="5" fillId="20" borderId="16" xfId="2" applyNumberFormat="1" applyFont="1" applyFill="1" applyBorder="1" applyAlignment="1" applyProtection="1">
      <alignment horizontal="center" vertical="center"/>
      <protection hidden="1"/>
    </xf>
    <xf numFmtId="178" fontId="5" fillId="20" borderId="17" xfId="2" applyNumberFormat="1" applyFont="1" applyFill="1" applyBorder="1" applyAlignment="1" applyProtection="1">
      <alignment horizontal="center" vertical="center"/>
      <protection hidden="1"/>
    </xf>
    <xf numFmtId="178" fontId="5" fillId="20" borderId="15" xfId="2" applyNumberFormat="1" applyFont="1" applyFill="1" applyBorder="1" applyAlignment="1" applyProtection="1">
      <alignment horizontal="center" vertical="center"/>
      <protection hidden="1"/>
    </xf>
    <xf numFmtId="0" fontId="5" fillId="20" borderId="16" xfId="1" applyFont="1" applyFill="1" applyBorder="1" applyAlignment="1" applyProtection="1">
      <alignment horizontal="center" vertical="center" wrapText="1"/>
      <protection hidden="1"/>
    </xf>
    <xf numFmtId="0" fontId="5" fillId="20" borderId="15" xfId="1" applyFont="1" applyFill="1" applyBorder="1" applyAlignment="1" applyProtection="1">
      <alignment horizontal="center" vertical="center" wrapText="1"/>
      <protection hidden="1"/>
    </xf>
    <xf numFmtId="0" fontId="5" fillId="20" borderId="17" xfId="1" applyFont="1" applyFill="1" applyBorder="1" applyAlignment="1" applyProtection="1">
      <alignment horizontal="center" vertical="center" wrapText="1"/>
      <protection hidden="1"/>
    </xf>
    <xf numFmtId="0" fontId="5" fillId="0" borderId="0" xfId="1" applyFont="1" applyAlignment="1" applyProtection="1">
      <alignment vertical="center" wrapText="1"/>
      <protection hidden="1"/>
    </xf>
    <xf numFmtId="0" fontId="5" fillId="0" borderId="6" xfId="1" applyFont="1" applyBorder="1" applyAlignment="1" applyProtection="1">
      <alignment vertical="center" wrapText="1"/>
      <protection hidden="1"/>
    </xf>
    <xf numFmtId="0" fontId="3" fillId="20" borderId="72" xfId="1" applyFont="1" applyFill="1" applyBorder="1" applyAlignment="1" applyProtection="1">
      <alignment horizontal="center" vertical="center"/>
      <protection hidden="1"/>
    </xf>
    <xf numFmtId="0" fontId="3" fillId="20" borderId="73" xfId="1" applyFont="1" applyFill="1" applyBorder="1" applyAlignment="1" applyProtection="1">
      <alignment horizontal="center" vertical="center"/>
      <protection hidden="1"/>
    </xf>
    <xf numFmtId="0" fontId="15" fillId="20" borderId="29" xfId="1" applyFont="1" applyFill="1" applyBorder="1" applyAlignment="1" applyProtection="1">
      <alignment horizontal="center" vertical="center" shrinkToFit="1"/>
      <protection hidden="1"/>
    </xf>
    <xf numFmtId="0" fontId="5" fillId="21" borderId="83" xfId="1" applyFont="1" applyFill="1" applyBorder="1" applyProtection="1">
      <alignment vertical="center"/>
      <protection hidden="1"/>
    </xf>
    <xf numFmtId="178" fontId="3" fillId="0" borderId="72" xfId="1" applyNumberFormat="1" applyFont="1" applyBorder="1" applyProtection="1">
      <alignment vertical="center"/>
      <protection hidden="1"/>
    </xf>
    <xf numFmtId="178" fontId="3" fillId="0" borderId="73" xfId="1" applyNumberFormat="1" applyFont="1" applyBorder="1" applyProtection="1">
      <alignment vertical="center"/>
      <protection hidden="1"/>
    </xf>
    <xf numFmtId="178" fontId="3" fillId="0" borderId="84" xfId="1" applyNumberFormat="1" applyFont="1" applyBorder="1" applyProtection="1">
      <alignment vertical="center"/>
      <protection hidden="1"/>
    </xf>
    <xf numFmtId="0" fontId="5" fillId="20" borderId="29" xfId="1" applyFont="1" applyFill="1" applyBorder="1" applyAlignment="1" applyProtection="1">
      <alignment horizontal="center" vertical="center"/>
      <protection hidden="1"/>
    </xf>
    <xf numFmtId="178" fontId="5" fillId="0" borderId="0" xfId="2" applyNumberFormat="1" applyFont="1" applyBorder="1" applyProtection="1">
      <alignment vertical="center"/>
      <protection hidden="1"/>
    </xf>
    <xf numFmtId="0" fontId="5" fillId="0" borderId="0" xfId="1" applyFont="1" applyBorder="1" applyProtection="1">
      <alignment vertical="center"/>
      <protection hidden="1"/>
    </xf>
    <xf numFmtId="9" fontId="5" fillId="0" borderId="0" xfId="3" applyFont="1" applyFill="1" applyBorder="1" applyAlignment="1" applyProtection="1">
      <alignment horizontal="center" vertical="center"/>
      <protection hidden="1"/>
    </xf>
    <xf numFmtId="178" fontId="5" fillId="0" borderId="0" xfId="2" applyNumberFormat="1" applyFont="1" applyFill="1" applyBorder="1" applyProtection="1">
      <alignment vertical="center"/>
      <protection hidden="1"/>
    </xf>
    <xf numFmtId="0" fontId="5" fillId="0" borderId="0" xfId="1" applyFont="1" applyFill="1" applyProtection="1">
      <alignment vertical="center"/>
      <protection hidden="1"/>
    </xf>
    <xf numFmtId="0" fontId="5" fillId="0" borderId="0" xfId="1" applyFont="1" applyFill="1" applyBorder="1" applyProtection="1">
      <alignment vertical="center"/>
      <protection hidden="1"/>
    </xf>
    <xf numFmtId="0" fontId="5" fillId="0" borderId="0" xfId="1" applyFont="1" applyFill="1" applyBorder="1" applyAlignment="1" applyProtection="1">
      <alignment horizontal="center" vertical="center"/>
      <protection hidden="1"/>
    </xf>
    <xf numFmtId="0" fontId="5" fillId="0" borderId="0" xfId="1" applyFont="1" applyFill="1" applyAlignment="1" applyProtection="1">
      <alignment horizontal="center" vertical="center"/>
      <protection hidden="1"/>
    </xf>
    <xf numFmtId="178" fontId="3" fillId="0" borderId="78" xfId="1" applyNumberFormat="1" applyFont="1" applyBorder="1" applyAlignment="1" applyProtection="1">
      <alignment horizontal="right" vertical="center" shrinkToFit="1"/>
      <protection hidden="1"/>
    </xf>
    <xf numFmtId="178" fontId="3" fillId="0" borderId="17" xfId="1" applyNumberFormat="1" applyFont="1" applyBorder="1" applyAlignment="1" applyProtection="1">
      <alignment horizontal="right" vertical="center" shrinkToFit="1"/>
      <protection hidden="1"/>
    </xf>
    <xf numFmtId="178" fontId="3" fillId="0" borderId="15" xfId="1" applyNumberFormat="1" applyFont="1" applyBorder="1" applyAlignment="1" applyProtection="1">
      <alignment horizontal="right" vertical="center" shrinkToFit="1"/>
      <protection hidden="1"/>
    </xf>
    <xf numFmtId="0" fontId="3" fillId="20" borderId="74" xfId="1" applyFont="1" applyFill="1" applyBorder="1" applyAlignment="1" applyProtection="1">
      <alignment horizontal="center" vertical="center"/>
      <protection hidden="1"/>
    </xf>
    <xf numFmtId="0" fontId="3" fillId="20" borderId="26" xfId="1" applyFont="1" applyFill="1" applyBorder="1" applyAlignment="1" applyProtection="1">
      <alignment horizontal="center" vertical="center"/>
      <protection hidden="1"/>
    </xf>
    <xf numFmtId="0" fontId="3" fillId="20" borderId="28" xfId="1" applyFont="1" applyFill="1" applyBorder="1" applyAlignment="1" applyProtection="1">
      <alignment horizontal="center" vertical="center"/>
      <protection hidden="1"/>
    </xf>
    <xf numFmtId="0" fontId="3" fillId="20" borderId="76" xfId="1" applyFont="1" applyFill="1" applyBorder="1" applyAlignment="1" applyProtection="1">
      <alignment horizontal="center" vertical="center"/>
      <protection hidden="1"/>
    </xf>
    <xf numFmtId="0" fontId="3" fillId="20" borderId="6" xfId="1" applyFont="1" applyFill="1" applyBorder="1" applyAlignment="1" applyProtection="1">
      <alignment horizontal="center" vertical="center"/>
      <protection hidden="1"/>
    </xf>
    <xf numFmtId="0" fontId="3" fillId="20" borderId="13" xfId="1" applyFont="1" applyFill="1" applyBorder="1" applyAlignment="1" applyProtection="1">
      <alignment horizontal="center" vertical="center"/>
      <protection hidden="1"/>
    </xf>
    <xf numFmtId="0" fontId="5" fillId="20" borderId="54" xfId="1" applyFont="1" applyFill="1" applyBorder="1" applyAlignment="1" applyProtection="1">
      <alignment horizontal="center" vertical="center" wrapText="1"/>
      <protection hidden="1"/>
    </xf>
    <xf numFmtId="0" fontId="5" fillId="20" borderId="49" xfId="1" applyFont="1" applyFill="1" applyBorder="1" applyAlignment="1" applyProtection="1">
      <alignment horizontal="center" vertical="center" wrapText="1"/>
      <protection hidden="1"/>
    </xf>
    <xf numFmtId="0" fontId="5" fillId="20" borderId="48" xfId="1" applyFont="1" applyFill="1" applyBorder="1" applyAlignment="1" applyProtection="1">
      <alignment horizontal="center" vertical="center" wrapText="1"/>
      <protection hidden="1"/>
    </xf>
    <xf numFmtId="0" fontId="4" fillId="20" borderId="29" xfId="1" applyFont="1" applyFill="1" applyBorder="1" applyAlignment="1" applyProtection="1">
      <alignment horizontal="center" vertical="center" wrapText="1"/>
      <protection hidden="1"/>
    </xf>
    <xf numFmtId="0" fontId="4" fillId="20" borderId="29" xfId="1" applyFont="1" applyFill="1" applyBorder="1" applyAlignment="1" applyProtection="1">
      <alignment horizontal="center" vertical="center"/>
      <protection hidden="1"/>
    </xf>
    <xf numFmtId="0" fontId="3" fillId="0" borderId="16" xfId="1" applyFont="1" applyBorder="1" applyProtection="1">
      <alignment vertical="center"/>
      <protection hidden="1"/>
    </xf>
    <xf numFmtId="0" fontId="3" fillId="0" borderId="15" xfId="1" applyFont="1" applyBorder="1" applyProtection="1">
      <alignment vertical="center"/>
      <protection hidden="1"/>
    </xf>
    <xf numFmtId="0" fontId="11" fillId="0" borderId="0" xfId="1" applyFont="1" applyProtection="1">
      <alignment vertical="center"/>
      <protection hidden="1"/>
    </xf>
    <xf numFmtId="0" fontId="11" fillId="0" borderId="0" xfId="1" applyFont="1" applyAlignment="1" applyProtection="1">
      <alignment vertical="center" wrapText="1"/>
      <protection hidden="1"/>
    </xf>
    <xf numFmtId="0" fontId="11" fillId="0" borderId="0" xfId="1" applyFont="1" applyAlignment="1" applyProtection="1">
      <alignment horizontal="left" vertical="center"/>
      <protection hidden="1"/>
    </xf>
    <xf numFmtId="0" fontId="3" fillId="18" borderId="72" xfId="1" applyFont="1" applyFill="1" applyBorder="1" applyProtection="1">
      <alignment vertical="center"/>
      <protection hidden="1"/>
    </xf>
    <xf numFmtId="0" fontId="3" fillId="18" borderId="73" xfId="1" applyFont="1" applyFill="1" applyBorder="1" applyProtection="1">
      <alignment vertical="center"/>
      <protection hidden="1"/>
    </xf>
    <xf numFmtId="0" fontId="2" fillId="18" borderId="73" xfId="1" applyFill="1" applyBorder="1" applyProtection="1">
      <alignment vertical="center"/>
      <protection hidden="1"/>
    </xf>
    <xf numFmtId="0" fontId="11" fillId="20" borderId="37" xfId="1" applyFont="1" applyFill="1" applyBorder="1" applyAlignment="1" applyProtection="1">
      <alignment horizontal="center" vertical="center"/>
      <protection hidden="1"/>
    </xf>
    <xf numFmtId="0" fontId="11" fillId="20" borderId="36" xfId="1" applyFont="1" applyFill="1" applyBorder="1" applyAlignment="1" applyProtection="1">
      <alignment horizontal="center" vertical="center"/>
      <protection hidden="1"/>
    </xf>
    <xf numFmtId="0" fontId="11" fillId="20" borderId="35" xfId="1" applyFont="1" applyFill="1" applyBorder="1" applyAlignment="1" applyProtection="1">
      <alignment horizontal="center" vertical="center"/>
      <protection hidden="1"/>
    </xf>
    <xf numFmtId="0" fontId="3" fillId="19" borderId="37" xfId="1" applyFont="1" applyFill="1" applyBorder="1" applyAlignment="1" applyProtection="1">
      <alignment horizontal="center" vertical="center"/>
      <protection locked="0" hidden="1"/>
    </xf>
    <xf numFmtId="0" fontId="3" fillId="19" borderId="36" xfId="1" applyFont="1" applyFill="1" applyBorder="1" applyAlignment="1" applyProtection="1">
      <alignment horizontal="center" vertical="center"/>
      <protection locked="0" hidden="1"/>
    </xf>
    <xf numFmtId="0" fontId="3" fillId="19" borderId="35" xfId="1" applyFont="1" applyFill="1" applyBorder="1" applyAlignment="1" applyProtection="1">
      <alignment horizontal="center" vertical="center"/>
      <protection locked="0" hidden="1"/>
    </xf>
    <xf numFmtId="178" fontId="3" fillId="19" borderId="37" xfId="1" applyNumberFormat="1" applyFont="1" applyFill="1" applyBorder="1" applyAlignment="1" applyProtection="1">
      <alignment horizontal="right" vertical="center" shrinkToFit="1"/>
      <protection locked="0" hidden="1"/>
    </xf>
    <xf numFmtId="178" fontId="3" fillId="19" borderId="36" xfId="1" applyNumberFormat="1" applyFont="1" applyFill="1" applyBorder="1" applyAlignment="1" applyProtection="1">
      <alignment horizontal="right" vertical="center" shrinkToFit="1"/>
      <protection locked="0" hidden="1"/>
    </xf>
    <xf numFmtId="178" fontId="3" fillId="19" borderId="35" xfId="1" applyNumberFormat="1" applyFont="1" applyFill="1" applyBorder="1" applyAlignment="1" applyProtection="1">
      <alignment horizontal="right" vertical="center" shrinkToFit="1"/>
      <protection locked="0" hidden="1"/>
    </xf>
    <xf numFmtId="178" fontId="3" fillId="19" borderId="40" xfId="1" applyNumberFormat="1" applyFont="1" applyFill="1" applyBorder="1" applyAlignment="1" applyProtection="1">
      <alignment horizontal="right" vertical="center" shrinkToFit="1"/>
      <protection locked="0" hidden="1"/>
    </xf>
    <xf numFmtId="0" fontId="3" fillId="20" borderId="80" xfId="1" applyFont="1" applyFill="1" applyBorder="1" applyAlignment="1" applyProtection="1">
      <alignment horizontal="center" vertical="center"/>
      <protection locked="0" hidden="1"/>
    </xf>
    <xf numFmtId="0" fontId="3" fillId="20" borderId="81" xfId="1" applyFont="1" applyFill="1" applyBorder="1" applyAlignment="1" applyProtection="1">
      <alignment horizontal="center" vertical="center"/>
      <protection locked="0" hidden="1"/>
    </xf>
    <xf numFmtId="0" fontId="3" fillId="20" borderId="82" xfId="1" applyFont="1" applyFill="1" applyBorder="1" applyAlignment="1" applyProtection="1">
      <alignment horizontal="center" vertical="center"/>
      <protection locked="0" hidden="1"/>
    </xf>
    <xf numFmtId="0" fontId="5" fillId="20" borderId="49" xfId="1" applyFont="1" applyFill="1" applyBorder="1" applyAlignment="1" applyProtection="1">
      <alignment horizontal="center" vertical="center"/>
      <protection hidden="1"/>
    </xf>
    <xf numFmtId="0" fontId="5" fillId="20" borderId="48" xfId="1" applyFont="1" applyFill="1" applyBorder="1" applyAlignment="1" applyProtection="1">
      <alignment horizontal="center" vertical="center"/>
      <protection hidden="1"/>
    </xf>
    <xf numFmtId="0" fontId="15" fillId="20" borderId="29" xfId="1" applyFont="1" applyFill="1" applyBorder="1" applyAlignment="1" applyProtection="1">
      <alignment horizontal="center" vertical="center"/>
      <protection hidden="1"/>
    </xf>
    <xf numFmtId="0" fontId="3" fillId="0" borderId="0" xfId="1" applyFont="1" applyProtection="1">
      <alignment vertical="center"/>
      <protection hidden="1"/>
    </xf>
    <xf numFmtId="0" fontId="18" fillId="19" borderId="0" xfId="1" applyFont="1" applyFill="1" applyAlignment="1" applyProtection="1">
      <alignment horizontal="center" vertical="center"/>
      <protection hidden="1"/>
    </xf>
    <xf numFmtId="178" fontId="4" fillId="20" borderId="16" xfId="1" applyNumberFormat="1" applyFont="1" applyFill="1" applyBorder="1" applyAlignment="1" applyProtection="1">
      <alignment horizontal="center" vertical="center"/>
      <protection hidden="1"/>
    </xf>
    <xf numFmtId="178" fontId="4" fillId="20" borderId="17" xfId="1" applyNumberFormat="1" applyFont="1" applyFill="1" applyBorder="1" applyAlignment="1" applyProtection="1">
      <alignment horizontal="center" vertical="center"/>
      <protection hidden="1"/>
    </xf>
    <xf numFmtId="178" fontId="4" fillId="20" borderId="15" xfId="1" applyNumberFormat="1" applyFont="1" applyFill="1" applyBorder="1" applyAlignment="1" applyProtection="1">
      <alignment horizontal="center" vertical="center"/>
      <protection hidden="1"/>
    </xf>
    <xf numFmtId="0" fontId="5" fillId="20" borderId="54" xfId="1" applyFont="1" applyFill="1" applyBorder="1" applyAlignment="1" applyProtection="1">
      <alignment horizontal="center" vertical="center"/>
      <protection hidden="1"/>
    </xf>
    <xf numFmtId="0" fontId="17" fillId="0" borderId="0" xfId="1" applyFont="1" applyFill="1" applyAlignment="1" applyProtection="1">
      <alignment horizontal="left" vertical="center"/>
      <protection hidden="1"/>
    </xf>
    <xf numFmtId="177" fontId="16" fillId="17" borderId="3" xfId="1" applyNumberFormat="1" applyFont="1" applyFill="1" applyBorder="1" applyAlignment="1" applyProtection="1">
      <alignment horizontal="center" vertical="center" shrinkToFit="1"/>
      <protection hidden="1"/>
    </xf>
    <xf numFmtId="177" fontId="16" fillId="17" borderId="2" xfId="1" applyNumberFormat="1" applyFont="1" applyFill="1" applyBorder="1" applyAlignment="1" applyProtection="1">
      <alignment horizontal="center" vertical="center" shrinkToFit="1"/>
      <protection hidden="1"/>
    </xf>
    <xf numFmtId="177" fontId="16" fillId="17" borderId="1" xfId="1" applyNumberFormat="1" applyFont="1" applyFill="1" applyBorder="1" applyAlignment="1" applyProtection="1">
      <alignment horizontal="center" vertical="center" shrinkToFit="1"/>
      <protection hidden="1"/>
    </xf>
    <xf numFmtId="177" fontId="3" fillId="0" borderId="6" xfId="1" applyNumberFormat="1" applyFont="1" applyBorder="1" applyAlignment="1" applyProtection="1">
      <alignment horizontal="center" vertical="center" shrinkToFit="1"/>
      <protection hidden="1"/>
    </xf>
    <xf numFmtId="0" fontId="3" fillId="20" borderId="44" xfId="1" applyFont="1" applyFill="1" applyBorder="1" applyAlignment="1" applyProtection="1">
      <alignment horizontal="center" vertical="center"/>
      <protection hidden="1"/>
    </xf>
    <xf numFmtId="0" fontId="3" fillId="20" borderId="34" xfId="1" applyFont="1" applyFill="1" applyBorder="1" applyAlignment="1" applyProtection="1">
      <alignment horizontal="center" vertical="center"/>
      <protection hidden="1"/>
    </xf>
    <xf numFmtId="0" fontId="3" fillId="20" borderId="43" xfId="1" applyFont="1" applyFill="1" applyBorder="1" applyAlignment="1" applyProtection="1">
      <alignment horizontal="center" vertical="center"/>
      <protection hidden="1"/>
    </xf>
    <xf numFmtId="0" fontId="3" fillId="20" borderId="39" xfId="1" applyFont="1" applyFill="1" applyBorder="1" applyAlignment="1" applyProtection="1">
      <alignment horizontal="center" vertical="center"/>
      <protection hidden="1"/>
    </xf>
    <xf numFmtId="0" fontId="3" fillId="20" borderId="0" xfId="1" applyFont="1" applyFill="1" applyAlignment="1" applyProtection="1">
      <alignment horizontal="center" vertical="center"/>
      <protection hidden="1"/>
    </xf>
    <xf numFmtId="0" fontId="3" fillId="20" borderId="38" xfId="1" applyFont="1" applyFill="1" applyBorder="1" applyAlignment="1" applyProtection="1">
      <alignment horizontal="center" vertical="center"/>
      <protection hidden="1"/>
    </xf>
    <xf numFmtId="0" fontId="3" fillId="20" borderId="47" xfId="1" applyFont="1" applyFill="1" applyBorder="1" applyAlignment="1" applyProtection="1">
      <alignment horizontal="center" vertical="center"/>
      <protection hidden="1"/>
    </xf>
    <xf numFmtId="0" fontId="3" fillId="20" borderId="46" xfId="1" applyFont="1" applyFill="1" applyBorder="1" applyAlignment="1" applyProtection="1">
      <alignment horizontal="center" vertical="center"/>
      <protection hidden="1"/>
    </xf>
    <xf numFmtId="0" fontId="3" fillId="20" borderId="45" xfId="1" applyFont="1" applyFill="1" applyBorder="1" applyAlignment="1" applyProtection="1">
      <alignment horizontal="center" vertical="center"/>
      <protection hidden="1"/>
    </xf>
    <xf numFmtId="0" fontId="3" fillId="20" borderId="44" xfId="1" applyFont="1" applyFill="1" applyBorder="1" applyAlignment="1" applyProtection="1">
      <alignment horizontal="center" vertical="center" wrapText="1"/>
      <protection hidden="1"/>
    </xf>
    <xf numFmtId="0" fontId="3" fillId="20" borderId="34" xfId="1" applyFont="1" applyFill="1" applyBorder="1" applyAlignment="1" applyProtection="1">
      <alignment horizontal="center" vertical="center" wrapText="1"/>
      <protection hidden="1"/>
    </xf>
    <xf numFmtId="0" fontId="3" fillId="20" borderId="43" xfId="1" applyFont="1" applyFill="1" applyBorder="1" applyAlignment="1" applyProtection="1">
      <alignment horizontal="center" vertical="center" wrapText="1"/>
      <protection hidden="1"/>
    </xf>
    <xf numFmtId="0" fontId="3" fillId="20" borderId="39" xfId="1" applyFont="1" applyFill="1" applyBorder="1" applyAlignment="1" applyProtection="1">
      <alignment horizontal="center" vertical="center" wrapText="1"/>
      <protection hidden="1"/>
    </xf>
    <xf numFmtId="0" fontId="3" fillId="20" borderId="0" xfId="1" applyFont="1" applyFill="1" applyAlignment="1" applyProtection="1">
      <alignment horizontal="center" vertical="center" wrapText="1"/>
      <protection hidden="1"/>
    </xf>
    <xf numFmtId="0" fontId="3" fillId="20" borderId="38" xfId="1" applyFont="1" applyFill="1" applyBorder="1" applyAlignment="1" applyProtection="1">
      <alignment horizontal="center" vertical="center" wrapText="1"/>
      <protection hidden="1"/>
    </xf>
    <xf numFmtId="0" fontId="3" fillId="20" borderId="47" xfId="1" applyFont="1" applyFill="1" applyBorder="1" applyAlignment="1" applyProtection="1">
      <alignment horizontal="center" vertical="center" wrapText="1"/>
      <protection hidden="1"/>
    </xf>
    <xf numFmtId="0" fontId="3" fillId="20" borderId="46" xfId="1" applyFont="1" applyFill="1" applyBorder="1" applyAlignment="1" applyProtection="1">
      <alignment horizontal="center" vertical="center" wrapText="1"/>
      <protection hidden="1"/>
    </xf>
    <xf numFmtId="0" fontId="3" fillId="20" borderId="45" xfId="1" applyFont="1" applyFill="1" applyBorder="1" applyAlignment="1" applyProtection="1">
      <alignment horizontal="center" vertical="center" wrapText="1"/>
      <protection hidden="1"/>
    </xf>
    <xf numFmtId="0" fontId="15" fillId="20" borderId="16" xfId="1" applyFont="1" applyFill="1" applyBorder="1" applyAlignment="1" applyProtection="1">
      <alignment horizontal="center" vertical="center"/>
      <protection hidden="1"/>
    </xf>
    <xf numFmtId="0" fontId="15" fillId="20" borderId="17" xfId="1" applyFont="1" applyFill="1" applyBorder="1" applyAlignment="1" applyProtection="1">
      <alignment horizontal="center" vertical="center"/>
      <protection hidden="1"/>
    </xf>
    <xf numFmtId="0" fontId="15" fillId="20" borderId="15" xfId="1" applyFont="1" applyFill="1" applyBorder="1" applyAlignment="1" applyProtection="1">
      <alignment horizontal="center" vertical="center"/>
      <protection hidden="1"/>
    </xf>
    <xf numFmtId="0" fontId="3" fillId="20" borderId="16" xfId="1" applyFont="1" applyFill="1" applyBorder="1" applyAlignment="1" applyProtection="1">
      <alignment horizontal="center" vertical="center"/>
      <protection hidden="1"/>
    </xf>
    <xf numFmtId="0" fontId="3" fillId="20" borderId="17" xfId="1" applyFont="1" applyFill="1" applyBorder="1" applyAlignment="1" applyProtection="1">
      <alignment horizontal="center" vertical="center"/>
      <protection hidden="1"/>
    </xf>
    <xf numFmtId="0" fontId="3" fillId="20" borderId="15" xfId="1" applyFont="1" applyFill="1" applyBorder="1" applyAlignment="1" applyProtection="1">
      <alignment horizontal="center" vertical="center"/>
      <protection hidden="1"/>
    </xf>
    <xf numFmtId="0" fontId="3" fillId="19" borderId="37" xfId="1" applyFont="1" applyFill="1" applyBorder="1" applyAlignment="1" applyProtection="1">
      <alignment horizontal="center" vertical="center" shrinkToFit="1"/>
      <protection locked="0" hidden="1"/>
    </xf>
    <xf numFmtId="0" fontId="3" fillId="19" borderId="36" xfId="1" applyFont="1" applyFill="1" applyBorder="1" applyAlignment="1" applyProtection="1">
      <alignment horizontal="center" vertical="center" shrinkToFit="1"/>
      <protection locked="0" hidden="1"/>
    </xf>
    <xf numFmtId="0" fontId="3" fillId="19" borderId="35" xfId="1" applyFont="1" applyFill="1" applyBorder="1" applyAlignment="1" applyProtection="1">
      <alignment horizontal="center" vertical="center" shrinkToFit="1"/>
      <protection locked="0" hidden="1"/>
    </xf>
    <xf numFmtId="0" fontId="19" fillId="0" borderId="0" xfId="1" applyFont="1" applyAlignment="1" applyProtection="1">
      <alignment horizontal="left" vertical="center"/>
      <protection hidden="1"/>
    </xf>
    <xf numFmtId="0" fontId="3" fillId="19" borderId="53" xfId="1" applyFont="1" applyFill="1" applyBorder="1" applyAlignment="1" applyProtection="1">
      <alignment horizontal="center" vertical="center"/>
      <protection locked="0" hidden="1"/>
    </xf>
    <xf numFmtId="0" fontId="3" fillId="19" borderId="52" xfId="1" applyFont="1" applyFill="1" applyBorder="1" applyAlignment="1" applyProtection="1">
      <alignment horizontal="center" vertical="center"/>
      <protection locked="0" hidden="1"/>
    </xf>
    <xf numFmtId="0" fontId="3" fillId="19" borderId="51" xfId="1" applyFont="1" applyFill="1" applyBorder="1" applyAlignment="1" applyProtection="1">
      <alignment horizontal="center" vertical="center"/>
      <protection locked="0" hidden="1"/>
    </xf>
    <xf numFmtId="0" fontId="3" fillId="19" borderId="40" xfId="1" applyFont="1" applyFill="1" applyBorder="1" applyAlignment="1" applyProtection="1">
      <alignment horizontal="center" vertical="center"/>
      <protection locked="0" hidden="1"/>
    </xf>
    <xf numFmtId="0" fontId="3" fillId="20" borderId="75" xfId="1" applyFont="1" applyFill="1" applyBorder="1" applyAlignment="1" applyProtection="1">
      <alignment horizontal="center" vertical="center"/>
      <protection hidden="1"/>
    </xf>
    <xf numFmtId="0" fontId="3" fillId="20" borderId="77" xfId="1" applyFont="1" applyFill="1" applyBorder="1" applyAlignment="1" applyProtection="1">
      <alignment horizontal="center" vertical="center"/>
      <protection hidden="1"/>
    </xf>
    <xf numFmtId="0" fontId="3" fillId="20" borderId="76" xfId="1" applyFont="1" applyFill="1" applyBorder="1" applyAlignment="1" applyProtection="1">
      <alignment horizontal="center" vertical="center" shrinkToFit="1"/>
      <protection hidden="1"/>
    </xf>
    <xf numFmtId="0" fontId="3" fillId="20" borderId="6" xfId="1" applyFont="1" applyFill="1" applyBorder="1" applyAlignment="1" applyProtection="1">
      <alignment horizontal="center" vertical="center" shrinkToFit="1"/>
      <protection hidden="1"/>
    </xf>
    <xf numFmtId="178" fontId="3" fillId="0" borderId="78" xfId="1" applyNumberFormat="1" applyFont="1" applyBorder="1" applyAlignment="1" applyProtection="1">
      <alignment vertical="center" shrinkToFit="1"/>
      <protection hidden="1"/>
    </xf>
    <xf numFmtId="178" fontId="3" fillId="0" borderId="17" xfId="1" applyNumberFormat="1" applyFont="1" applyBorder="1" applyAlignment="1" applyProtection="1">
      <alignment vertical="center" shrinkToFit="1"/>
      <protection hidden="1"/>
    </xf>
    <xf numFmtId="178" fontId="3" fillId="0" borderId="79" xfId="1" applyNumberFormat="1" applyFont="1" applyBorder="1" applyAlignment="1" applyProtection="1">
      <alignment vertical="center" shrinkToFit="1"/>
      <protection hidden="1"/>
    </xf>
    <xf numFmtId="178" fontId="4" fillId="20" borderId="29" xfId="1" applyNumberFormat="1" applyFont="1" applyFill="1" applyBorder="1" applyAlignment="1" applyProtection="1">
      <alignment horizontal="center" vertical="center"/>
      <protection hidden="1"/>
    </xf>
    <xf numFmtId="0" fontId="3" fillId="20" borderId="27" xfId="1" applyFont="1" applyFill="1" applyBorder="1" applyAlignment="1" applyProtection="1">
      <alignment horizontal="center" vertical="center"/>
      <protection hidden="1"/>
    </xf>
    <xf numFmtId="0" fontId="3" fillId="20" borderId="12" xfId="1" applyFont="1" applyFill="1" applyBorder="1" applyAlignment="1" applyProtection="1">
      <alignment horizontal="center" vertical="center"/>
      <protection hidden="1"/>
    </xf>
    <xf numFmtId="177" fontId="3" fillId="17" borderId="3" xfId="1" applyNumberFormat="1" applyFont="1" applyFill="1" applyBorder="1" applyAlignment="1" applyProtection="1">
      <alignment horizontal="center" vertical="center" shrinkToFit="1"/>
      <protection hidden="1"/>
    </xf>
    <xf numFmtId="177" fontId="3" fillId="17" borderId="2" xfId="1" applyNumberFormat="1" applyFont="1" applyFill="1" applyBorder="1" applyAlignment="1" applyProtection="1">
      <alignment horizontal="center" vertical="center" shrinkToFit="1"/>
      <protection hidden="1"/>
    </xf>
    <xf numFmtId="177" fontId="3" fillId="17" borderId="1" xfId="1" applyNumberFormat="1" applyFont="1" applyFill="1" applyBorder="1" applyAlignment="1" applyProtection="1">
      <alignment horizontal="center" vertical="center" shrinkToFit="1"/>
      <protection hidden="1"/>
    </xf>
    <xf numFmtId="0" fontId="3" fillId="17" borderId="3" xfId="1" applyFont="1" applyFill="1" applyBorder="1" applyAlignment="1" applyProtection="1">
      <alignment horizontal="center" vertical="center"/>
      <protection hidden="1"/>
    </xf>
    <xf numFmtId="0" fontId="3" fillId="17" borderId="2" xfId="1" applyFont="1" applyFill="1" applyBorder="1" applyAlignment="1" applyProtection="1">
      <alignment horizontal="center" vertical="center"/>
      <protection hidden="1"/>
    </xf>
    <xf numFmtId="0" fontId="3" fillId="17" borderId="1" xfId="1" applyFont="1" applyFill="1" applyBorder="1" applyAlignment="1" applyProtection="1">
      <alignment horizontal="center" vertical="center"/>
      <protection hidden="1"/>
    </xf>
    <xf numFmtId="0" fontId="3" fillId="20" borderId="72" xfId="1" applyFont="1" applyFill="1" applyBorder="1" applyAlignment="1" applyProtection="1">
      <alignment horizontal="center" vertical="center"/>
      <protection hidden="1"/>
    </xf>
    <xf numFmtId="0" fontId="3" fillId="20" borderId="73" xfId="1" applyFont="1" applyFill="1" applyBorder="1" applyAlignment="1" applyProtection="1">
      <alignment horizontal="center" vertical="center"/>
      <protection hidden="1"/>
    </xf>
    <xf numFmtId="0" fontId="11" fillId="0" borderId="34" xfId="1" applyFont="1" applyBorder="1" applyProtection="1">
      <alignment vertical="center"/>
      <protection hidden="1"/>
    </xf>
    <xf numFmtId="0" fontId="5" fillId="20" borderId="29" xfId="1" applyFont="1" applyFill="1" applyBorder="1" applyAlignment="1" applyProtection="1">
      <alignment horizontal="center" vertical="center"/>
      <protection hidden="1"/>
    </xf>
    <xf numFmtId="0" fontId="5" fillId="20" borderId="29" xfId="1" applyFont="1" applyFill="1" applyBorder="1" applyAlignment="1" applyProtection="1">
      <alignment horizontal="center" vertical="center" wrapText="1"/>
      <protection hidden="1"/>
    </xf>
    <xf numFmtId="0" fontId="11" fillId="0" borderId="0" xfId="1" applyFont="1" applyAlignment="1" applyProtection="1">
      <alignment vertical="center"/>
      <protection hidden="1"/>
    </xf>
    <xf numFmtId="0" fontId="3" fillId="4" borderId="16" xfId="1" applyFont="1" applyFill="1" applyBorder="1" applyAlignment="1">
      <alignment horizontal="center" vertical="center"/>
    </xf>
    <xf numFmtId="0" fontId="3" fillId="4" borderId="17" xfId="1" applyFont="1" applyFill="1" applyBorder="1" applyAlignment="1">
      <alignment horizontal="center" vertical="center"/>
    </xf>
    <xf numFmtId="0" fontId="3" fillId="4" borderId="15" xfId="1" applyFont="1" applyFill="1" applyBorder="1" applyAlignment="1">
      <alignment horizontal="center" vertical="center"/>
    </xf>
    <xf numFmtId="0" fontId="3" fillId="0" borderId="16" xfId="1" applyFont="1" applyBorder="1">
      <alignment vertical="center"/>
    </xf>
    <xf numFmtId="0" fontId="3" fillId="0" borderId="15" xfId="1" applyFont="1" applyBorder="1">
      <alignment vertical="center"/>
    </xf>
    <xf numFmtId="0" fontId="3" fillId="4" borderId="27" xfId="1" applyFont="1" applyFill="1" applyBorder="1" applyAlignment="1">
      <alignment horizontal="center" vertical="center"/>
    </xf>
    <xf numFmtId="0" fontId="3" fillId="4" borderId="28" xfId="1" applyFont="1" applyFill="1" applyBorder="1" applyAlignment="1">
      <alignment horizontal="center" vertical="center"/>
    </xf>
    <xf numFmtId="0" fontId="3" fillId="4" borderId="12" xfId="1" applyFont="1" applyFill="1" applyBorder="1" applyAlignment="1">
      <alignment horizontal="center" vertical="center"/>
    </xf>
    <xf numFmtId="0" fontId="3" fillId="4" borderId="13" xfId="1" applyFont="1" applyFill="1" applyBorder="1" applyAlignment="1">
      <alignment horizontal="center" vertical="center"/>
    </xf>
    <xf numFmtId="0" fontId="3" fillId="3" borderId="3"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1" xfId="1" applyFont="1" applyFill="1" applyBorder="1" applyAlignment="1">
      <alignment horizontal="center" vertical="center"/>
    </xf>
    <xf numFmtId="178" fontId="3" fillId="0" borderId="16" xfId="1" applyNumberFormat="1" applyFont="1" applyBorder="1" applyAlignment="1">
      <alignment vertical="top" shrinkToFit="1"/>
    </xf>
    <xf numFmtId="178" fontId="3" fillId="0" borderId="17" xfId="1" applyNumberFormat="1" applyFont="1" applyBorder="1" applyAlignment="1">
      <alignment vertical="top" shrinkToFit="1"/>
    </xf>
    <xf numFmtId="178" fontId="3" fillId="0" borderId="15" xfId="1" applyNumberFormat="1" applyFont="1" applyBorder="1" applyAlignment="1">
      <alignment vertical="top" shrinkToFit="1"/>
    </xf>
    <xf numFmtId="0" fontId="3" fillId="10" borderId="37" xfId="1" applyFont="1" applyFill="1" applyBorder="1" applyAlignment="1" applyProtection="1">
      <alignment horizontal="center" vertical="center" shrinkToFit="1"/>
      <protection locked="0"/>
    </xf>
    <xf numFmtId="0" fontId="3" fillId="10" borderId="36" xfId="1" applyFont="1" applyFill="1" applyBorder="1" applyAlignment="1" applyProtection="1">
      <alignment horizontal="center" vertical="center" shrinkToFit="1"/>
      <protection locked="0"/>
    </xf>
    <xf numFmtId="0" fontId="3" fillId="10" borderId="35" xfId="1" applyFont="1" applyFill="1" applyBorder="1" applyAlignment="1" applyProtection="1">
      <alignment horizontal="center" vertical="center" shrinkToFit="1"/>
      <protection locked="0"/>
    </xf>
    <xf numFmtId="178" fontId="3" fillId="10" borderId="40" xfId="1" applyNumberFormat="1" applyFont="1" applyFill="1" applyBorder="1" applyAlignment="1" applyProtection="1">
      <alignment horizontal="right" vertical="center" shrinkToFit="1"/>
      <protection locked="0"/>
    </xf>
    <xf numFmtId="0" fontId="3" fillId="10" borderId="37" xfId="1" applyFont="1" applyFill="1" applyBorder="1" applyAlignment="1" applyProtection="1">
      <alignment horizontal="center" vertical="center"/>
      <protection locked="0"/>
    </xf>
    <xf numFmtId="0" fontId="3" fillId="10" borderId="36" xfId="1" applyFont="1" applyFill="1" applyBorder="1" applyAlignment="1" applyProtection="1">
      <alignment horizontal="center" vertical="center"/>
      <protection locked="0"/>
    </xf>
    <xf numFmtId="0" fontId="3" fillId="10" borderId="35" xfId="1" applyFont="1" applyFill="1" applyBorder="1" applyAlignment="1" applyProtection="1">
      <alignment horizontal="center" vertical="center"/>
      <protection locked="0"/>
    </xf>
    <xf numFmtId="0" fontId="3" fillId="7" borderId="27" xfId="1" applyFont="1" applyFill="1" applyBorder="1" applyAlignment="1">
      <alignment horizontal="center" vertical="center"/>
    </xf>
    <xf numFmtId="0" fontId="3" fillId="7" borderId="26" xfId="1" applyFont="1" applyFill="1" applyBorder="1" applyAlignment="1">
      <alignment horizontal="center" vertical="center"/>
    </xf>
    <xf numFmtId="0" fontId="3" fillId="7" borderId="28" xfId="1" applyFont="1" applyFill="1" applyBorder="1" applyAlignment="1">
      <alignment horizontal="center" vertical="center"/>
    </xf>
    <xf numFmtId="0" fontId="3" fillId="6" borderId="27" xfId="1" applyFont="1" applyFill="1" applyBorder="1" applyAlignment="1">
      <alignment horizontal="center" vertical="center" shrinkToFit="1"/>
    </xf>
    <xf numFmtId="0" fontId="3" fillId="6" borderId="26" xfId="1" applyFont="1" applyFill="1" applyBorder="1" applyAlignment="1">
      <alignment horizontal="center" vertical="center" shrinkToFit="1"/>
    </xf>
    <xf numFmtId="0" fontId="3" fillId="6" borderId="28" xfId="1" applyFont="1" applyFill="1" applyBorder="1" applyAlignment="1">
      <alignment horizontal="center" vertical="center" shrinkToFit="1"/>
    </xf>
    <xf numFmtId="177" fontId="3" fillId="0" borderId="6" xfId="1" applyNumberFormat="1" applyFont="1" applyBorder="1" applyAlignment="1">
      <alignment horizontal="center" vertical="center" shrinkToFit="1"/>
    </xf>
    <xf numFmtId="0" fontId="3" fillId="10" borderId="40" xfId="1" applyFont="1" applyFill="1" applyBorder="1" applyAlignment="1" applyProtection="1">
      <alignment horizontal="center" vertical="center"/>
      <protection locked="0"/>
    </xf>
    <xf numFmtId="178" fontId="3" fillId="10" borderId="37" xfId="1" applyNumberFormat="1" applyFont="1" applyFill="1" applyBorder="1" applyAlignment="1" applyProtection="1">
      <alignment horizontal="right" vertical="center" shrinkToFit="1"/>
      <protection locked="0"/>
    </xf>
    <xf numFmtId="178" fontId="3" fillId="10" borderId="36" xfId="1" applyNumberFormat="1" applyFont="1" applyFill="1" applyBorder="1" applyAlignment="1" applyProtection="1">
      <alignment horizontal="right" vertical="center" shrinkToFit="1"/>
      <protection locked="0"/>
    </xf>
    <xf numFmtId="178" fontId="3" fillId="10" borderId="35" xfId="1" applyNumberFormat="1" applyFont="1" applyFill="1" applyBorder="1" applyAlignment="1" applyProtection="1">
      <alignment horizontal="right" vertical="center" shrinkToFit="1"/>
      <protection locked="0"/>
    </xf>
    <xf numFmtId="0" fontId="4" fillId="0" borderId="0" xfId="1" applyFont="1">
      <alignment vertical="center"/>
    </xf>
    <xf numFmtId="0" fontId="4" fillId="0" borderId="14" xfId="1" applyFont="1" applyBorder="1">
      <alignment vertical="center"/>
    </xf>
    <xf numFmtId="0" fontId="3" fillId="5" borderId="27" xfId="1" applyFont="1" applyFill="1" applyBorder="1" applyAlignment="1">
      <alignment horizontal="center" vertical="center"/>
    </xf>
    <xf numFmtId="0" fontId="3" fillId="5" borderId="26" xfId="1" applyFont="1" applyFill="1" applyBorder="1" applyAlignment="1">
      <alignment horizontal="center" vertical="center"/>
    </xf>
    <xf numFmtId="0" fontId="3" fillId="0" borderId="3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38" xfId="1" applyFont="1" applyBorder="1" applyAlignment="1" applyProtection="1">
      <alignment horizontal="center" vertical="center"/>
      <protection locked="0"/>
    </xf>
    <xf numFmtId="0" fontId="3" fillId="0" borderId="0" xfId="1" applyFont="1" applyAlignment="1">
      <alignment vertical="center" shrinkToFit="1"/>
    </xf>
    <xf numFmtId="0" fontId="3" fillId="0" borderId="14" xfId="1" applyFont="1" applyBorder="1" applyAlignment="1">
      <alignment vertical="center" shrinkToFit="1"/>
    </xf>
    <xf numFmtId="177" fontId="3" fillId="3" borderId="3" xfId="1" applyNumberFormat="1" applyFont="1" applyFill="1" applyBorder="1" applyAlignment="1">
      <alignment horizontal="center" vertical="center" shrinkToFit="1"/>
    </xf>
    <xf numFmtId="177" fontId="3" fillId="3" borderId="2" xfId="1" applyNumberFormat="1" applyFont="1" applyFill="1" applyBorder="1" applyAlignment="1">
      <alignment horizontal="center" vertical="center" shrinkToFit="1"/>
    </xf>
    <xf numFmtId="177" fontId="3" fillId="3" borderId="1" xfId="1" applyNumberFormat="1" applyFont="1" applyFill="1" applyBorder="1" applyAlignment="1">
      <alignment horizontal="center" vertical="center" shrinkToFit="1"/>
    </xf>
    <xf numFmtId="0" fontId="3" fillId="7" borderId="11" xfId="1" applyFont="1" applyFill="1" applyBorder="1" applyAlignment="1">
      <alignment horizontal="center" vertical="center"/>
    </xf>
    <xf numFmtId="0" fontId="3" fillId="7" borderId="0" xfId="1" applyFont="1" applyFill="1" applyAlignment="1">
      <alignment horizontal="center" vertical="center"/>
    </xf>
    <xf numFmtId="0" fontId="3" fillId="7" borderId="14" xfId="1" applyFont="1" applyFill="1" applyBorder="1" applyAlignment="1">
      <alignment horizontal="center" vertical="center"/>
    </xf>
    <xf numFmtId="0" fontId="3" fillId="6" borderId="11" xfId="1" applyFont="1" applyFill="1" applyBorder="1" applyAlignment="1">
      <alignment horizontal="center" vertical="center" shrinkToFit="1"/>
    </xf>
    <xf numFmtId="0" fontId="3" fillId="6" borderId="0" xfId="1" applyFont="1" applyFill="1" applyAlignment="1">
      <alignment horizontal="center" vertical="center" shrinkToFit="1"/>
    </xf>
    <xf numFmtId="0" fontId="3" fillId="6" borderId="14" xfId="1" applyFont="1" applyFill="1" applyBorder="1" applyAlignment="1">
      <alignment horizontal="center" vertical="center" shrinkToFit="1"/>
    </xf>
    <xf numFmtId="0" fontId="3" fillId="0" borderId="0" xfId="1" applyFont="1">
      <alignment vertical="center"/>
    </xf>
    <xf numFmtId="0" fontId="3" fillId="0" borderId="14" xfId="1" applyFont="1" applyBorder="1">
      <alignment vertical="center"/>
    </xf>
    <xf numFmtId="0" fontId="3" fillId="0" borderId="44" xfId="1" applyFont="1" applyBorder="1" applyAlignment="1" applyProtection="1">
      <alignment horizontal="center" vertical="center"/>
      <protection locked="0"/>
    </xf>
    <xf numFmtId="0" fontId="3" fillId="0" borderId="34" xfId="1" applyFont="1" applyBorder="1" applyAlignment="1" applyProtection="1">
      <alignment horizontal="center" vertical="center"/>
      <protection locked="0"/>
    </xf>
    <xf numFmtId="0" fontId="3" fillId="0" borderId="43" xfId="1" applyFont="1" applyBorder="1" applyAlignment="1" applyProtection="1">
      <alignment horizontal="center" vertical="center"/>
      <protection locked="0"/>
    </xf>
    <xf numFmtId="0" fontId="11" fillId="0" borderId="34" xfId="1" applyFont="1" applyBorder="1">
      <alignment vertical="center"/>
    </xf>
    <xf numFmtId="0" fontId="11" fillId="0" borderId="0" xfId="1" applyFont="1">
      <alignment vertical="center"/>
    </xf>
    <xf numFmtId="0" fontId="3" fillId="5" borderId="11" xfId="1" applyFont="1" applyFill="1" applyBorder="1" applyAlignment="1">
      <alignment horizontal="center" vertical="center" shrinkToFit="1"/>
    </xf>
    <xf numFmtId="0" fontId="3" fillId="5" borderId="0" xfId="1" applyFont="1" applyFill="1" applyAlignment="1">
      <alignment horizontal="center" vertical="center" shrinkToFit="1"/>
    </xf>
    <xf numFmtId="0" fontId="11" fillId="0" borderId="0" xfId="1" applyFont="1" applyAlignment="1">
      <alignment vertical="center" wrapText="1"/>
    </xf>
    <xf numFmtId="0" fontId="11" fillId="0" borderId="0" xfId="1" applyFont="1" applyAlignment="1">
      <alignment horizontal="left" vertical="center"/>
    </xf>
    <xf numFmtId="0" fontId="3" fillId="10" borderId="53" xfId="1" applyFont="1" applyFill="1" applyBorder="1" applyAlignment="1" applyProtection="1">
      <alignment horizontal="center" vertical="center"/>
      <protection locked="0"/>
    </xf>
    <xf numFmtId="0" fontId="3" fillId="10" borderId="52" xfId="1" applyFont="1" applyFill="1" applyBorder="1" applyAlignment="1" applyProtection="1">
      <alignment horizontal="center" vertical="center"/>
      <protection locked="0"/>
    </xf>
    <xf numFmtId="0" fontId="3" fillId="10" borderId="51" xfId="1" applyFont="1" applyFill="1" applyBorder="1" applyAlignment="1" applyProtection="1">
      <alignment horizontal="center" vertical="center"/>
      <protection locked="0"/>
    </xf>
    <xf numFmtId="0" fontId="11" fillId="11" borderId="37" xfId="1" applyFont="1" applyFill="1" applyBorder="1">
      <alignment vertical="center"/>
    </xf>
    <xf numFmtId="0" fontId="11" fillId="11" borderId="36" xfId="1" applyFont="1" applyFill="1" applyBorder="1">
      <alignment vertical="center"/>
    </xf>
    <xf numFmtId="0" fontId="11" fillId="11" borderId="35" xfId="1" applyFont="1" applyFill="1" applyBorder="1">
      <alignment vertical="center"/>
    </xf>
    <xf numFmtId="0" fontId="3" fillId="12" borderId="44" xfId="1" applyFont="1" applyFill="1" applyBorder="1">
      <alignment vertical="center"/>
    </xf>
    <xf numFmtId="0" fontId="3" fillId="12" borderId="34" xfId="1" applyFont="1" applyFill="1" applyBorder="1">
      <alignment vertical="center"/>
    </xf>
    <xf numFmtId="0" fontId="3" fillId="12" borderId="43" xfId="1" applyFont="1" applyFill="1" applyBorder="1">
      <alignment vertical="center"/>
    </xf>
    <xf numFmtId="0" fontId="3" fillId="12" borderId="39" xfId="1" applyFont="1" applyFill="1" applyBorder="1">
      <alignment vertical="center"/>
    </xf>
    <xf numFmtId="0" fontId="3" fillId="12" borderId="0" xfId="1" applyFont="1" applyFill="1">
      <alignment vertical="center"/>
    </xf>
    <xf numFmtId="0" fontId="3" fillId="12" borderId="38" xfId="1" applyFont="1" applyFill="1" applyBorder="1">
      <alignment vertical="center"/>
    </xf>
    <xf numFmtId="0" fontId="3" fillId="12" borderId="47" xfId="1" applyFont="1" applyFill="1" applyBorder="1">
      <alignment vertical="center"/>
    </xf>
    <xf numFmtId="0" fontId="3" fillId="12" borderId="46" xfId="1" applyFont="1" applyFill="1" applyBorder="1">
      <alignment vertical="center"/>
    </xf>
    <xf numFmtId="0" fontId="3" fillId="12" borderId="45" xfId="1" applyFont="1" applyFill="1" applyBorder="1">
      <alignment vertical="center"/>
    </xf>
    <xf numFmtId="0" fontId="3" fillId="12" borderId="44" xfId="1" applyFont="1" applyFill="1" applyBorder="1" applyAlignment="1">
      <alignment horizontal="center" vertical="center"/>
    </xf>
    <xf numFmtId="0" fontId="3" fillId="12" borderId="34" xfId="1" applyFont="1" applyFill="1" applyBorder="1" applyAlignment="1">
      <alignment horizontal="center" vertical="center"/>
    </xf>
    <xf numFmtId="0" fontId="3" fillId="12" borderId="43" xfId="1" applyFont="1" applyFill="1" applyBorder="1" applyAlignment="1">
      <alignment horizontal="center" vertical="center"/>
    </xf>
    <xf numFmtId="0" fontId="3" fillId="12" borderId="39" xfId="1" applyFont="1" applyFill="1" applyBorder="1" applyAlignment="1">
      <alignment horizontal="center" vertical="center"/>
    </xf>
    <xf numFmtId="0" fontId="3" fillId="12" borderId="0" xfId="1" applyFont="1" applyFill="1" applyAlignment="1">
      <alignment horizontal="center" vertical="center"/>
    </xf>
    <xf numFmtId="0" fontId="3" fillId="12" borderId="38" xfId="1" applyFont="1" applyFill="1" applyBorder="1" applyAlignment="1">
      <alignment horizontal="center" vertical="center"/>
    </xf>
    <xf numFmtId="0" fontId="3" fillId="12" borderId="47" xfId="1" applyFont="1" applyFill="1" applyBorder="1" applyAlignment="1">
      <alignment horizontal="center" vertical="center"/>
    </xf>
    <xf numFmtId="0" fontId="3" fillId="12" borderId="46" xfId="1" applyFont="1" applyFill="1" applyBorder="1" applyAlignment="1">
      <alignment horizontal="center" vertical="center"/>
    </xf>
    <xf numFmtId="0" fontId="3" fillId="12" borderId="45" xfId="1" applyFont="1" applyFill="1" applyBorder="1" applyAlignment="1">
      <alignment horizontal="center" vertical="center"/>
    </xf>
    <xf numFmtId="0" fontId="17" fillId="0" borderId="0" xfId="1" applyFont="1" applyAlignment="1">
      <alignment horizontal="left" vertical="center"/>
    </xf>
    <xf numFmtId="0" fontId="15" fillId="0" borderId="29" xfId="1" applyFont="1" applyBorder="1" applyAlignment="1">
      <alignment horizontal="center" vertical="center"/>
    </xf>
    <xf numFmtId="0" fontId="19" fillId="0" borderId="0" xfId="1" applyFont="1" applyAlignment="1">
      <alignment horizontal="left" vertical="center"/>
    </xf>
    <xf numFmtId="178" fontId="4" fillId="9" borderId="29" xfId="1" applyNumberFormat="1" applyFont="1" applyFill="1" applyBorder="1" applyAlignment="1">
      <alignment horizontal="center" vertical="center"/>
    </xf>
    <xf numFmtId="0" fontId="5" fillId="4" borderId="16"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xf>
    <xf numFmtId="0" fontId="5" fillId="4" borderId="15" xfId="1" applyFont="1" applyFill="1" applyBorder="1" applyAlignment="1">
      <alignment horizontal="center" vertical="center"/>
    </xf>
    <xf numFmtId="0" fontId="4" fillId="4" borderId="29" xfId="1" applyFont="1" applyFill="1" applyBorder="1" applyAlignment="1">
      <alignment horizontal="center" vertical="center" wrapText="1"/>
    </xf>
    <xf numFmtId="0" fontId="4" fillId="4" borderId="29" xfId="1" applyFont="1" applyFill="1" applyBorder="1" applyAlignment="1">
      <alignment horizontal="center" vertical="center"/>
    </xf>
    <xf numFmtId="0" fontId="5" fillId="4" borderId="29" xfId="1" applyFont="1" applyFill="1" applyBorder="1" applyAlignment="1">
      <alignment horizontal="center" vertical="center"/>
    </xf>
    <xf numFmtId="0" fontId="5" fillId="4" borderId="29" xfId="1" applyFont="1" applyFill="1" applyBorder="1" applyAlignment="1">
      <alignment horizontal="center" vertical="center" wrapText="1"/>
    </xf>
    <xf numFmtId="0" fontId="5" fillId="4" borderId="54" xfId="1" applyFont="1" applyFill="1" applyBorder="1" applyAlignment="1">
      <alignment horizontal="center" vertical="center" wrapText="1"/>
    </xf>
    <xf numFmtId="0" fontId="5" fillId="4" borderId="49" xfId="1" applyFont="1" applyFill="1" applyBorder="1" applyAlignment="1">
      <alignment horizontal="center" vertical="center"/>
    </xf>
    <xf numFmtId="0" fontId="5" fillId="4" borderId="48" xfId="1" applyFont="1" applyFill="1" applyBorder="1" applyAlignment="1">
      <alignment horizontal="center" vertical="center"/>
    </xf>
    <xf numFmtId="0" fontId="5" fillId="4" borderId="49" xfId="1" applyFont="1" applyFill="1" applyBorder="1" applyAlignment="1">
      <alignment horizontal="center" vertical="center" wrapText="1"/>
    </xf>
    <xf numFmtId="0" fontId="5" fillId="4" borderId="48" xfId="1" applyFont="1" applyFill="1" applyBorder="1" applyAlignment="1">
      <alignment horizontal="center" vertical="center" wrapText="1"/>
    </xf>
    <xf numFmtId="0" fontId="5" fillId="0" borderId="0" xfId="1" applyFont="1" applyAlignment="1">
      <alignment vertical="center" wrapText="1"/>
    </xf>
    <xf numFmtId="178" fontId="5" fillId="4" borderId="16" xfId="2" applyNumberFormat="1" applyFont="1" applyFill="1" applyBorder="1" applyAlignment="1">
      <alignment horizontal="center" vertical="center"/>
    </xf>
    <xf numFmtId="178" fontId="5" fillId="4" borderId="17" xfId="2" applyNumberFormat="1" applyFont="1" applyFill="1" applyBorder="1" applyAlignment="1">
      <alignment horizontal="center" vertical="center"/>
    </xf>
    <xf numFmtId="178" fontId="5" fillId="4" borderId="15" xfId="2" applyNumberFormat="1" applyFont="1" applyFill="1" applyBorder="1" applyAlignment="1">
      <alignment horizontal="center" vertical="center"/>
    </xf>
    <xf numFmtId="177" fontId="16" fillId="3" borderId="3" xfId="1" applyNumberFormat="1" applyFont="1" applyFill="1" applyBorder="1" applyAlignment="1">
      <alignment horizontal="center" vertical="center" shrinkToFit="1"/>
    </xf>
    <xf numFmtId="177" fontId="16" fillId="3" borderId="2" xfId="1" applyNumberFormat="1" applyFont="1" applyFill="1" applyBorder="1" applyAlignment="1">
      <alignment horizontal="center" vertical="center" shrinkToFit="1"/>
    </xf>
    <xf numFmtId="177" fontId="16" fillId="3" borderId="1" xfId="1" applyNumberFormat="1" applyFont="1" applyFill="1" applyBorder="1" applyAlignment="1">
      <alignment horizontal="center" vertical="center" shrinkToFit="1"/>
    </xf>
    <xf numFmtId="0" fontId="5" fillId="4" borderId="54" xfId="1" applyFont="1" applyFill="1" applyBorder="1" applyAlignment="1">
      <alignment horizontal="center" vertical="center"/>
    </xf>
    <xf numFmtId="0" fontId="3" fillId="12" borderId="44" xfId="1" applyFont="1" applyFill="1" applyBorder="1" applyAlignment="1">
      <alignment horizontal="center" vertical="center" wrapText="1"/>
    </xf>
    <xf numFmtId="0" fontId="3" fillId="12" borderId="34" xfId="1" applyFont="1" applyFill="1" applyBorder="1" applyAlignment="1">
      <alignment horizontal="center" vertical="center" wrapText="1"/>
    </xf>
    <xf numFmtId="0" fontId="3" fillId="12" borderId="43" xfId="1" applyFont="1" applyFill="1" applyBorder="1" applyAlignment="1">
      <alignment horizontal="center" vertical="center" wrapText="1"/>
    </xf>
    <xf numFmtId="0" fontId="3" fillId="12" borderId="39" xfId="1" applyFont="1" applyFill="1" applyBorder="1" applyAlignment="1">
      <alignment horizontal="center" vertical="center" wrapText="1"/>
    </xf>
    <xf numFmtId="0" fontId="3" fillId="12" borderId="0" xfId="1" applyFont="1" applyFill="1" applyAlignment="1">
      <alignment horizontal="center" vertical="center" wrapText="1"/>
    </xf>
    <xf numFmtId="0" fontId="3" fillId="12" borderId="38" xfId="1" applyFont="1" applyFill="1" applyBorder="1" applyAlignment="1">
      <alignment horizontal="center" vertical="center" wrapText="1"/>
    </xf>
    <xf numFmtId="0" fontId="3" fillId="12" borderId="47" xfId="1" applyFont="1" applyFill="1" applyBorder="1" applyAlignment="1">
      <alignment horizontal="center" vertical="center" wrapText="1"/>
    </xf>
    <xf numFmtId="0" fontId="3" fillId="12" borderId="46" xfId="1" applyFont="1" applyFill="1" applyBorder="1" applyAlignment="1">
      <alignment horizontal="center" vertical="center" wrapText="1"/>
    </xf>
    <xf numFmtId="0" fontId="3" fillId="12" borderId="45" xfId="1" applyFont="1" applyFill="1" applyBorder="1" applyAlignment="1">
      <alignment horizontal="center" vertical="center" wrapText="1"/>
    </xf>
    <xf numFmtId="0" fontId="3" fillId="14" borderId="53" xfId="1" applyFont="1" applyFill="1" applyBorder="1" applyAlignment="1" applyProtection="1">
      <alignment horizontal="center" vertical="center"/>
      <protection locked="0"/>
    </xf>
    <xf numFmtId="0" fontId="3" fillId="14" borderId="52" xfId="1" applyFont="1" applyFill="1" applyBorder="1" applyAlignment="1" applyProtection="1">
      <alignment horizontal="center" vertical="center"/>
      <protection locked="0"/>
    </xf>
    <xf numFmtId="0" fontId="3" fillId="14" borderId="51" xfId="1" applyFont="1" applyFill="1" applyBorder="1" applyAlignment="1" applyProtection="1">
      <alignment horizontal="center" vertical="center"/>
      <protection locked="0"/>
    </xf>
    <xf numFmtId="0" fontId="3" fillId="15" borderId="40" xfId="1" applyFont="1" applyFill="1" applyBorder="1" applyAlignment="1">
      <alignment horizontal="center" vertical="center"/>
    </xf>
    <xf numFmtId="0" fontId="3" fillId="15" borderId="37" xfId="1" applyFont="1" applyFill="1" applyBorder="1" applyAlignment="1">
      <alignment horizontal="center" vertical="center"/>
    </xf>
    <xf numFmtId="0" fontId="4" fillId="15" borderId="37" xfId="1" applyFont="1" applyFill="1" applyBorder="1" applyAlignment="1">
      <alignment horizontal="center" vertical="center"/>
    </xf>
    <xf numFmtId="0" fontId="4" fillId="15" borderId="35" xfId="1" applyFont="1" applyFill="1" applyBorder="1" applyAlignment="1">
      <alignment horizontal="center" vertical="center"/>
    </xf>
    <xf numFmtId="0" fontId="3" fillId="14" borderId="40" xfId="1" applyFont="1" applyFill="1" applyBorder="1" applyAlignment="1" applyProtection="1">
      <alignment horizontal="center" vertical="center"/>
      <protection locked="0"/>
    </xf>
    <xf numFmtId="179" fontId="3" fillId="14" borderId="40" xfId="1" applyNumberFormat="1" applyFont="1" applyFill="1" applyBorder="1" applyAlignment="1" applyProtection="1">
      <alignment horizontal="right" vertical="center"/>
      <protection locked="0"/>
    </xf>
    <xf numFmtId="0" fontId="3" fillId="14" borderId="37" xfId="1" applyFont="1" applyFill="1" applyBorder="1" applyAlignment="1" applyProtection="1">
      <alignment horizontal="center" vertical="center"/>
      <protection locked="0"/>
    </xf>
    <xf numFmtId="0" fontId="3" fillId="14" borderId="35" xfId="1" applyFont="1" applyFill="1" applyBorder="1" applyAlignment="1" applyProtection="1">
      <alignment horizontal="center" vertical="center"/>
      <protection locked="0"/>
    </xf>
    <xf numFmtId="179" fontId="3" fillId="17" borderId="40" xfId="1" applyNumberFormat="1" applyFont="1" applyFill="1" applyBorder="1" applyAlignment="1">
      <alignment horizontal="right" vertical="center"/>
    </xf>
    <xf numFmtId="179" fontId="3" fillId="17" borderId="37" xfId="1" applyNumberFormat="1" applyFont="1" applyFill="1" applyBorder="1" applyAlignment="1">
      <alignment horizontal="right" vertical="center"/>
    </xf>
    <xf numFmtId="179" fontId="3" fillId="16" borderId="40" xfId="1" applyNumberFormat="1" applyFont="1" applyFill="1" applyBorder="1" applyAlignment="1">
      <alignment horizontal="right" vertical="center"/>
    </xf>
    <xf numFmtId="179" fontId="3" fillId="16" borderId="37" xfId="1" applyNumberFormat="1" applyFont="1" applyFill="1" applyBorder="1" applyAlignment="1">
      <alignment horizontal="right" vertical="center"/>
    </xf>
    <xf numFmtId="0" fontId="7" fillId="0" borderId="0" xfId="1" applyFont="1" applyAlignment="1">
      <alignment horizontal="center" vertical="center"/>
    </xf>
    <xf numFmtId="0" fontId="7" fillId="0" borderId="61" xfId="1" applyFont="1" applyBorder="1" applyAlignment="1">
      <alignment horizontal="center" vertical="center"/>
    </xf>
    <xf numFmtId="179" fontId="3" fillId="17" borderId="62" xfId="1" applyNumberFormat="1" applyFont="1" applyFill="1" applyBorder="1" applyAlignment="1">
      <alignment horizontal="center" vertical="center"/>
    </xf>
    <xf numFmtId="179" fontId="3" fillId="17" borderId="63" xfId="1" applyNumberFormat="1" applyFont="1" applyFill="1" applyBorder="1" applyAlignment="1">
      <alignment horizontal="center" vertical="center"/>
    </xf>
    <xf numFmtId="179" fontId="3" fillId="17" borderId="64" xfId="1" applyNumberFormat="1" applyFont="1" applyFill="1" applyBorder="1" applyAlignment="1">
      <alignment horizontal="center" vertical="center"/>
    </xf>
    <xf numFmtId="0" fontId="3" fillId="0" borderId="0" xfId="1" applyFont="1" applyAlignment="1">
      <alignment horizontal="left" vertical="top" wrapText="1"/>
    </xf>
    <xf numFmtId="0" fontId="3" fillId="0" borderId="0" xfId="1" applyFont="1" applyAlignment="1">
      <alignment horizontal="left" vertical="top"/>
    </xf>
    <xf numFmtId="0" fontId="7" fillId="0" borderId="0" xfId="1" applyFont="1">
      <alignment vertical="center"/>
    </xf>
    <xf numFmtId="0" fontId="7" fillId="0" borderId="61" xfId="1" applyFont="1" applyBorder="1">
      <alignment vertical="center"/>
    </xf>
    <xf numFmtId="0" fontId="3" fillId="17" borderId="62" xfId="1" applyFont="1" applyFill="1" applyBorder="1" applyAlignment="1">
      <alignment horizontal="center" vertical="center"/>
    </xf>
    <xf numFmtId="0" fontId="3" fillId="17" borderId="63" xfId="1" applyFont="1" applyFill="1" applyBorder="1" applyAlignment="1">
      <alignment horizontal="center" vertical="center"/>
    </xf>
    <xf numFmtId="0" fontId="3" fillId="17" borderId="64" xfId="1" applyFont="1" applyFill="1" applyBorder="1" applyAlignment="1">
      <alignment horizontal="center" vertical="center"/>
    </xf>
    <xf numFmtId="0" fontId="3" fillId="18" borderId="65" xfId="1" applyFont="1" applyFill="1" applyBorder="1">
      <alignment vertical="center"/>
    </xf>
    <xf numFmtId="0" fontId="2" fillId="18" borderId="65" xfId="1" applyFill="1" applyBorder="1">
      <alignment vertical="center"/>
    </xf>
    <xf numFmtId="179" fontId="4" fillId="17" borderId="65" xfId="1" applyNumberFormat="1" applyFont="1" applyFill="1" applyBorder="1">
      <alignment vertical="center"/>
    </xf>
    <xf numFmtId="179" fontId="4" fillId="17" borderId="66" xfId="1" applyNumberFormat="1" applyFont="1" applyFill="1" applyBorder="1">
      <alignment vertical="center"/>
    </xf>
    <xf numFmtId="179" fontId="4" fillId="17" borderId="67" xfId="1" applyNumberFormat="1" applyFont="1" applyFill="1" applyBorder="1">
      <alignment vertical="center"/>
    </xf>
    <xf numFmtId="179" fontId="4" fillId="17" borderId="68" xfId="1" applyNumberFormat="1" applyFont="1" applyFill="1" applyBorder="1">
      <alignment vertical="center"/>
    </xf>
    <xf numFmtId="0" fontId="3" fillId="18" borderId="65" xfId="1" applyFont="1" applyFill="1" applyBorder="1" applyAlignment="1">
      <alignment horizontal="center" vertical="center"/>
    </xf>
    <xf numFmtId="0" fontId="2" fillId="18" borderId="65" xfId="1" applyFill="1" applyBorder="1" applyAlignment="1">
      <alignment horizontal="center" vertical="center"/>
    </xf>
  </cellXfs>
  <cellStyles count="4">
    <cellStyle name="パーセント 2" xfId="3" xr:uid="{9D4D7CB4-7542-FE4F-B413-1FB7404499BC}"/>
    <cellStyle name="桁区切り 2" xfId="2" xr:uid="{7210C88D-DBBE-F44E-BA7D-ADB1BBDA92D8}"/>
    <cellStyle name="標準" xfId="0" builtinId="0"/>
    <cellStyle name="標準 2" xfId="1" xr:uid="{93455CB4-BC0D-724E-804B-F6033D807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34</xdr:col>
      <xdr:colOff>206659</xdr:colOff>
      <xdr:row>47</xdr:row>
      <xdr:rowOff>117527</xdr:rowOff>
    </xdr:from>
    <xdr:ext cx="4062802" cy="4178782"/>
    <xdr:pic>
      <xdr:nvPicPr>
        <xdr:cNvPr id="2" name="図 1">
          <a:extLst>
            <a:ext uri="{FF2B5EF4-FFF2-40B4-BE49-F238E27FC236}">
              <a16:creationId xmlns:a16="http://schemas.microsoft.com/office/drawing/2014/main" id="{303689B9-FA67-3B4E-8449-E1CC9F23E4A0}"/>
            </a:ext>
          </a:extLst>
        </xdr:cNvPr>
        <xdr:cNvPicPr>
          <a:picLocks noChangeAspect="1"/>
        </xdr:cNvPicPr>
      </xdr:nvPicPr>
      <xdr:blipFill>
        <a:blip xmlns:r="http://schemas.openxmlformats.org/officeDocument/2006/relationships" r:embed="rId1"/>
        <a:stretch>
          <a:fillRect/>
        </a:stretch>
      </xdr:blipFill>
      <xdr:spPr>
        <a:xfrm>
          <a:off x="8410859" y="8474127"/>
          <a:ext cx="4062802" cy="417878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F151-A53F-FB49-8A6B-170B8FB67D7D}">
  <sheetPr>
    <pageSetUpPr fitToPage="1"/>
  </sheetPr>
  <dimension ref="A1:CP101"/>
  <sheetViews>
    <sheetView showGridLines="0" tabSelected="1" zoomScale="70" zoomScaleNormal="70" zoomScaleSheetLayoutView="55" workbookViewId="0">
      <selection activeCell="G20" sqref="G20:M20"/>
    </sheetView>
  </sheetViews>
  <sheetFormatPr defaultColWidth="3.08203125" defaultRowHeight="19" customHeight="1" outlineLevelCol="1"/>
  <cols>
    <col min="1" max="1" width="3.08203125" style="142"/>
    <col min="2" max="44" width="3" style="142" customWidth="1"/>
    <col min="45" max="46" width="3.58203125" style="142" customWidth="1"/>
    <col min="47" max="55" width="2.58203125" style="142" customWidth="1"/>
    <col min="56" max="56" width="3" style="142" customWidth="1"/>
    <col min="57" max="57" width="3" style="143" hidden="1" customWidth="1" outlineLevel="1"/>
    <col min="58" max="58" width="4.08203125" style="142" hidden="1" customWidth="1" outlineLevel="1"/>
    <col min="59" max="59" width="28.08203125" style="144" hidden="1" customWidth="1" outlineLevel="1"/>
    <col min="60" max="60" width="17.5" style="144" hidden="1" customWidth="1" outlineLevel="1"/>
    <col min="61" max="66" width="20.58203125" style="144" hidden="1" customWidth="1" outlineLevel="1"/>
    <col min="67" max="68" width="27.5" style="144" hidden="1" customWidth="1" outlineLevel="1"/>
    <col min="69" max="69" width="26.83203125" style="144" hidden="1" customWidth="1" outlineLevel="1"/>
    <col min="70" max="70" width="14.58203125" style="144" hidden="1" customWidth="1" outlineLevel="1"/>
    <col min="71" max="71" width="21.58203125" style="144" hidden="1" customWidth="1" outlineLevel="1"/>
    <col min="72" max="80" width="17.5" style="144" hidden="1" customWidth="1" outlineLevel="1"/>
    <col min="81" max="81" width="20.5" style="144" hidden="1" customWidth="1" outlineLevel="1"/>
    <col min="82" max="82" width="19.75" style="144" hidden="1" customWidth="1" outlineLevel="1"/>
    <col min="83" max="83" width="19.75" style="145" hidden="1" customWidth="1" outlineLevel="1"/>
    <col min="84" max="84" width="19.75" style="144" hidden="1" customWidth="1" outlineLevel="1"/>
    <col min="85" max="85" width="19.75" style="146" hidden="1" customWidth="1" outlineLevel="1"/>
    <col min="86" max="92" width="21.58203125" style="142" hidden="1" customWidth="1" outlineLevel="1"/>
    <col min="93" max="93" width="3.08203125" style="143" hidden="1" customWidth="1" outlineLevel="1"/>
    <col min="94" max="94" width="3.08203125" style="143" customWidth="1" collapsed="1"/>
    <col min="95" max="16384" width="3.08203125" style="143"/>
  </cols>
  <sheetData>
    <row r="1" spans="1:92" ht="19" customHeight="1">
      <c r="A1" s="345" t="s">
        <v>254</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row>
    <row r="2" spans="1:92" ht="19" customHeight="1">
      <c r="A2" s="34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345"/>
      <c r="AV2" s="345"/>
      <c r="AW2" s="345"/>
      <c r="AX2" s="345"/>
      <c r="AY2" s="345"/>
      <c r="AZ2" s="345"/>
      <c r="BA2" s="345"/>
      <c r="BB2" s="345"/>
      <c r="BC2" s="345"/>
    </row>
    <row r="3" spans="1:92" ht="24.75" customHeight="1">
      <c r="B3" s="147"/>
      <c r="C3" s="147"/>
      <c r="D3" s="147"/>
      <c r="E3" s="147"/>
      <c r="F3" s="147"/>
      <c r="BS3" s="148" t="s">
        <v>123</v>
      </c>
      <c r="BT3" s="149"/>
      <c r="BU3" s="149"/>
      <c r="BV3" s="149"/>
      <c r="BW3" s="149"/>
      <c r="BX3" s="149"/>
      <c r="BY3" s="149"/>
      <c r="CD3" s="142"/>
      <c r="CE3" s="142"/>
      <c r="CF3" s="142"/>
      <c r="CG3" s="142"/>
      <c r="CI3" s="143"/>
      <c r="CJ3" s="143"/>
    </row>
    <row r="4" spans="1:92" ht="24.75" customHeight="1">
      <c r="A4" s="307" t="s">
        <v>222</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S4" s="306"/>
      <c r="BT4" s="306" t="s">
        <v>41</v>
      </c>
      <c r="BU4" s="306"/>
      <c r="BV4" s="306" t="s">
        <v>121</v>
      </c>
      <c r="BW4" s="306"/>
      <c r="BX4" s="306" t="s">
        <v>39</v>
      </c>
      <c r="BY4" s="306"/>
      <c r="BZ4" s="336" t="s">
        <v>242</v>
      </c>
      <c r="CA4" s="337"/>
      <c r="CB4" s="338"/>
      <c r="CD4" s="142"/>
      <c r="CE4" s="142"/>
      <c r="CF4" s="142"/>
      <c r="CG4" s="142"/>
      <c r="CI4" s="143"/>
      <c r="CJ4" s="143"/>
    </row>
    <row r="5" spans="1:92" ht="24.75" customHeight="1">
      <c r="A5" s="307" t="s">
        <v>203</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S5" s="306"/>
      <c r="BT5" s="150" t="s">
        <v>119</v>
      </c>
      <c r="BU5" s="150" t="s">
        <v>118</v>
      </c>
      <c r="BV5" s="150" t="s">
        <v>119</v>
      </c>
      <c r="BW5" s="150" t="s">
        <v>118</v>
      </c>
      <c r="BX5" s="150" t="s">
        <v>119</v>
      </c>
      <c r="BY5" s="150" t="s">
        <v>118</v>
      </c>
      <c r="BZ5" s="241" t="s">
        <v>119</v>
      </c>
      <c r="CA5" s="241" t="s">
        <v>118</v>
      </c>
      <c r="CB5" s="255" t="s">
        <v>243</v>
      </c>
      <c r="CD5" s="142"/>
      <c r="CE5" s="142"/>
      <c r="CF5" s="142"/>
      <c r="CG5" s="142"/>
      <c r="CI5" s="143"/>
      <c r="CJ5" s="143"/>
    </row>
    <row r="6" spans="1:92" ht="24.75" customHeight="1">
      <c r="A6" s="307" t="s">
        <v>202</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307"/>
      <c r="AK6" s="307"/>
      <c r="AL6" s="307"/>
      <c r="AM6" s="307"/>
      <c r="AN6" s="307"/>
      <c r="AO6" s="307"/>
      <c r="AP6" s="307"/>
      <c r="AQ6" s="307"/>
      <c r="AR6" s="307"/>
      <c r="AS6" s="307"/>
      <c r="AT6" s="307"/>
      <c r="AU6" s="307"/>
      <c r="AV6" s="307"/>
      <c r="AW6" s="307"/>
      <c r="AX6" s="307"/>
      <c r="AY6" s="307"/>
      <c r="AZ6" s="307"/>
      <c r="BA6" s="307"/>
      <c r="BB6" s="307"/>
      <c r="BC6" s="307"/>
      <c r="BS6" s="150" t="s">
        <v>116</v>
      </c>
      <c r="BT6" s="151">
        <v>0.08</v>
      </c>
      <c r="BU6" s="152">
        <v>46000</v>
      </c>
      <c r="BV6" s="151">
        <v>2.7E-2</v>
      </c>
      <c r="BW6" s="152">
        <v>16000</v>
      </c>
      <c r="BX6" s="151">
        <v>2.4E-2</v>
      </c>
      <c r="BY6" s="152">
        <v>17000</v>
      </c>
      <c r="BZ6" s="151">
        <v>2.5000000000000001E-3</v>
      </c>
      <c r="CA6" s="152">
        <v>1500</v>
      </c>
      <c r="CB6" s="152">
        <v>100</v>
      </c>
      <c r="CD6" s="142"/>
      <c r="CE6" s="142"/>
      <c r="CF6" s="142"/>
      <c r="CG6" s="142"/>
      <c r="CI6" s="143"/>
      <c r="CJ6" s="143"/>
    </row>
    <row r="7" spans="1:92" ht="24.75" customHeight="1">
      <c r="A7" s="153" t="s">
        <v>204</v>
      </c>
      <c r="B7" s="308"/>
      <c r="C7" s="308"/>
      <c r="D7" s="153" t="s">
        <v>205</v>
      </c>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S7" s="150" t="s">
        <v>114</v>
      </c>
      <c r="BT7" s="154"/>
      <c r="BU7" s="152">
        <v>660000</v>
      </c>
      <c r="BV7" s="154"/>
      <c r="BW7" s="152">
        <v>260000</v>
      </c>
      <c r="BX7" s="154"/>
      <c r="BY7" s="152">
        <v>170000</v>
      </c>
      <c r="BZ7" s="154"/>
      <c r="CA7" s="154"/>
      <c r="CB7" s="152">
        <v>30000</v>
      </c>
      <c r="CD7" s="142"/>
      <c r="CE7" s="142"/>
      <c r="CF7" s="142"/>
      <c r="CG7" s="142"/>
      <c r="CI7" s="143"/>
      <c r="CJ7" s="143"/>
    </row>
    <row r="8" spans="1:92" ht="24.75" customHeight="1">
      <c r="BS8" s="149"/>
      <c r="BT8" s="149"/>
      <c r="BU8" s="149"/>
      <c r="BV8" s="149"/>
      <c r="BW8" s="149"/>
      <c r="BX8" s="149"/>
      <c r="BY8" s="149"/>
      <c r="CD8" s="142"/>
      <c r="CE8" s="142"/>
      <c r="CF8" s="142"/>
      <c r="CG8" s="142"/>
      <c r="CI8" s="143"/>
      <c r="CJ8" s="143"/>
    </row>
    <row r="9" spans="1:92" ht="24.75" customHeight="1" thickBot="1">
      <c r="A9" s="313" t="s">
        <v>225</v>
      </c>
      <c r="B9" s="313"/>
      <c r="C9" s="313"/>
      <c r="D9" s="313"/>
      <c r="E9" s="313"/>
      <c r="F9" s="313"/>
      <c r="G9" s="313"/>
      <c r="H9" s="313"/>
      <c r="I9" s="313"/>
      <c r="J9" s="313"/>
      <c r="K9" s="313"/>
      <c r="L9" s="313"/>
      <c r="M9" s="313"/>
      <c r="N9" s="313"/>
      <c r="O9" s="313"/>
      <c r="P9" s="313"/>
      <c r="Q9" s="313"/>
      <c r="R9" s="313"/>
      <c r="S9" s="313"/>
      <c r="T9" s="313"/>
      <c r="U9" s="313"/>
      <c r="V9" s="313"/>
      <c r="W9" s="313"/>
      <c r="X9" s="313"/>
      <c r="BO9" s="155"/>
      <c r="BS9" s="150"/>
      <c r="BT9" s="150" t="s">
        <v>113</v>
      </c>
      <c r="BU9" s="150" t="s">
        <v>112</v>
      </c>
      <c r="BV9" s="150" t="s">
        <v>111</v>
      </c>
      <c r="BW9" s="149"/>
      <c r="BX9" s="149"/>
      <c r="BY9" s="149"/>
      <c r="CD9" s="142"/>
      <c r="CE9" s="142"/>
      <c r="CF9" s="142"/>
      <c r="CG9" s="142"/>
      <c r="CI9" s="143"/>
      <c r="CJ9" s="143"/>
    </row>
    <row r="10" spans="1:92" ht="24.75" customHeight="1" thickBot="1">
      <c r="B10" s="147"/>
      <c r="C10" s="314">
        <f>IF($C$13="","",$L$44+$U$44+$AD$44+$AM$44)</f>
        <v>0</v>
      </c>
      <c r="D10" s="315"/>
      <c r="E10" s="315"/>
      <c r="F10" s="315"/>
      <c r="G10" s="315"/>
      <c r="H10" s="315"/>
      <c r="I10" s="316"/>
      <c r="J10" s="147"/>
      <c r="K10" s="147"/>
      <c r="L10" s="147"/>
      <c r="M10" s="147"/>
      <c r="N10" s="156" t="s">
        <v>4</v>
      </c>
      <c r="O10" s="156"/>
      <c r="P10" s="156"/>
      <c r="Q10" s="157"/>
      <c r="R10" s="157"/>
      <c r="S10" s="157"/>
      <c r="T10" s="157"/>
      <c r="U10" s="157"/>
      <c r="V10" s="157"/>
      <c r="W10" s="317">
        <f>IF($C$13="","",INT($C$47/LEFT($C$13,LEN($C$13)-2)))</f>
        <v>0</v>
      </c>
      <c r="X10" s="317"/>
      <c r="Y10" s="317"/>
      <c r="Z10" s="317"/>
      <c r="AA10" s="317"/>
      <c r="AB10" s="317"/>
      <c r="AC10" s="317"/>
      <c r="BO10" s="158"/>
      <c r="BS10" s="150" t="s">
        <v>110</v>
      </c>
      <c r="BT10" s="152">
        <v>430000</v>
      </c>
      <c r="BU10" s="159">
        <v>310000</v>
      </c>
      <c r="BV10" s="159">
        <v>570000</v>
      </c>
      <c r="BW10" s="149"/>
      <c r="BX10" s="149"/>
      <c r="BY10" s="149"/>
      <c r="CD10" s="142"/>
      <c r="CE10" s="142"/>
      <c r="CF10" s="142"/>
      <c r="CG10" s="142"/>
      <c r="CI10" s="143"/>
      <c r="CJ10" s="143"/>
    </row>
    <row r="11" spans="1:92" ht="24.75" customHeight="1">
      <c r="B11" s="160"/>
      <c r="C11" s="160"/>
      <c r="D11" s="160"/>
      <c r="E11" s="160"/>
      <c r="F11" s="160"/>
      <c r="G11" s="161"/>
      <c r="H11" s="161"/>
      <c r="I11" s="161"/>
      <c r="J11" s="161"/>
      <c r="K11" s="161"/>
      <c r="L11" s="161"/>
      <c r="M11" s="161"/>
      <c r="N11" s="161"/>
      <c r="O11" s="161"/>
      <c r="P11" s="161"/>
      <c r="Q11" s="161"/>
      <c r="R11" s="161"/>
      <c r="BF11" s="143"/>
      <c r="BG11" s="143"/>
      <c r="BH11" s="143"/>
      <c r="BI11" s="143"/>
      <c r="BJ11" s="143"/>
      <c r="BK11" s="143"/>
      <c r="BL11" s="143"/>
      <c r="BM11" s="143"/>
      <c r="BN11" s="143"/>
      <c r="BO11" s="143"/>
      <c r="BP11" s="143"/>
      <c r="BQ11" s="143"/>
      <c r="BR11" s="143"/>
      <c r="BS11" s="143"/>
      <c r="BT11" s="143"/>
      <c r="BU11" s="143"/>
      <c r="BV11" s="143"/>
      <c r="BW11" s="143"/>
      <c r="BX11" s="143"/>
      <c r="BY11" s="143"/>
    </row>
    <row r="12" spans="1:92" ht="24.75" customHeight="1">
      <c r="A12" s="307" t="s">
        <v>201</v>
      </c>
      <c r="B12" s="307"/>
      <c r="C12" s="307"/>
      <c r="D12" s="307"/>
      <c r="E12" s="307"/>
      <c r="F12" s="307"/>
      <c r="G12" s="307"/>
      <c r="H12" s="307"/>
      <c r="I12" s="307"/>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307"/>
      <c r="AP12" s="307"/>
      <c r="AQ12" s="307"/>
      <c r="AR12" s="307"/>
      <c r="AS12" s="307"/>
      <c r="AT12" s="307"/>
      <c r="AU12" s="307"/>
      <c r="AV12" s="307"/>
      <c r="AW12" s="307"/>
      <c r="AX12" s="307"/>
      <c r="AY12" s="307"/>
      <c r="AZ12" s="307"/>
      <c r="BA12" s="307"/>
      <c r="BB12" s="307"/>
      <c r="BC12" s="307"/>
      <c r="BD12" s="162"/>
      <c r="BF12" s="143"/>
      <c r="BG12" s="143"/>
      <c r="BH12" s="143"/>
      <c r="BI12" s="143"/>
      <c r="BJ12" s="143"/>
      <c r="BK12" s="143"/>
      <c r="BL12" s="143"/>
      <c r="BM12" s="143"/>
      <c r="BN12" s="143"/>
      <c r="BO12" s="143"/>
      <c r="BP12" s="143"/>
      <c r="BQ12" s="143"/>
      <c r="BR12" s="143"/>
      <c r="BS12" s="143"/>
      <c r="BT12" s="143"/>
      <c r="BU12" s="143"/>
      <c r="BV12" s="143"/>
      <c r="BW12" s="143"/>
      <c r="BX12" s="143"/>
      <c r="BY12" s="143"/>
      <c r="BZ12" s="163"/>
      <c r="CA12" s="163"/>
      <c r="CB12" s="163"/>
      <c r="CC12" s="163"/>
    </row>
    <row r="13" spans="1:92" ht="24.75" customHeight="1">
      <c r="C13" s="346" t="s">
        <v>85</v>
      </c>
      <c r="D13" s="347"/>
      <c r="E13" s="347"/>
      <c r="F13" s="347"/>
      <c r="G13" s="347"/>
      <c r="H13" s="347"/>
      <c r="I13" s="348"/>
      <c r="BD13" s="162"/>
      <c r="BF13" s="143"/>
      <c r="BG13" s="143"/>
      <c r="BH13" s="143"/>
      <c r="BI13" s="143"/>
      <c r="BJ13" s="143"/>
      <c r="BK13" s="143"/>
      <c r="BL13" s="143"/>
      <c r="BM13" s="143"/>
      <c r="BN13" s="143"/>
      <c r="BO13" s="143"/>
      <c r="BP13" s="143"/>
      <c r="BQ13" s="143"/>
      <c r="BR13" s="143"/>
      <c r="BS13" s="143"/>
      <c r="BT13" s="143"/>
      <c r="BU13" s="143"/>
      <c r="BV13" s="143"/>
      <c r="BW13" s="143"/>
      <c r="BX13" s="143"/>
      <c r="BY13" s="143"/>
      <c r="BZ13" s="145"/>
      <c r="CA13" s="145"/>
      <c r="CB13" s="145"/>
      <c r="CC13" s="145"/>
      <c r="CH13" s="146"/>
      <c r="CI13" s="146"/>
      <c r="CJ13" s="146"/>
      <c r="CK13" s="146"/>
      <c r="CL13" s="146"/>
      <c r="CM13" s="146"/>
      <c r="CN13" s="146"/>
    </row>
    <row r="14" spans="1:92" ht="24.75" customHeight="1">
      <c r="K14" s="164"/>
      <c r="L14" s="164"/>
      <c r="M14" s="164"/>
      <c r="N14" s="164"/>
      <c r="O14" s="164"/>
      <c r="BD14" s="162"/>
      <c r="BR14" s="165"/>
      <c r="BZ14" s="145"/>
      <c r="CA14" s="145"/>
      <c r="CB14" s="145"/>
      <c r="CC14" s="145"/>
      <c r="CH14" s="146"/>
      <c r="CI14" s="146"/>
      <c r="CJ14" s="146"/>
      <c r="CK14" s="146"/>
      <c r="CL14" s="146"/>
      <c r="CM14" s="146"/>
      <c r="CN14" s="146"/>
    </row>
    <row r="15" spans="1:92" ht="24.75" customHeight="1">
      <c r="A15" s="307" t="s">
        <v>84</v>
      </c>
      <c r="B15" s="307"/>
      <c r="C15" s="307"/>
      <c r="D15" s="307"/>
      <c r="E15" s="307"/>
      <c r="F15" s="307"/>
      <c r="G15" s="307"/>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162"/>
      <c r="BO15" s="166"/>
      <c r="BP15" s="155"/>
      <c r="BR15" s="165"/>
      <c r="BZ15" s="145"/>
      <c r="CA15" s="145"/>
      <c r="CB15" s="145"/>
      <c r="CC15" s="145"/>
      <c r="CH15" s="146"/>
      <c r="CI15" s="146"/>
      <c r="CJ15" s="146"/>
      <c r="CK15" s="146"/>
      <c r="CL15" s="146"/>
      <c r="CM15" s="146"/>
      <c r="CN15" s="146"/>
    </row>
    <row r="16" spans="1:92" ht="24.75" customHeight="1">
      <c r="B16" s="327" t="s">
        <v>207</v>
      </c>
      <c r="C16" s="328"/>
      <c r="D16" s="328"/>
      <c r="E16" s="328"/>
      <c r="F16" s="329"/>
      <c r="G16" s="318" t="s">
        <v>82</v>
      </c>
      <c r="H16" s="319"/>
      <c r="I16" s="319"/>
      <c r="J16" s="319"/>
      <c r="K16" s="319"/>
      <c r="L16" s="319"/>
      <c r="M16" s="320"/>
      <c r="N16" s="327" t="s">
        <v>133</v>
      </c>
      <c r="O16" s="328"/>
      <c r="P16" s="328"/>
      <c r="Q16" s="328"/>
      <c r="R16" s="328"/>
      <c r="S16" s="328"/>
      <c r="T16" s="328"/>
      <c r="U16" s="329"/>
      <c r="V16" s="327" t="s">
        <v>134</v>
      </c>
      <c r="W16" s="328"/>
      <c r="X16" s="328"/>
      <c r="Y16" s="328"/>
      <c r="Z16" s="328"/>
      <c r="AA16" s="328"/>
      <c r="AB16" s="329"/>
      <c r="AC16" s="327" t="s">
        <v>79</v>
      </c>
      <c r="AD16" s="328"/>
      <c r="AE16" s="328"/>
      <c r="AF16" s="328"/>
      <c r="AG16" s="328"/>
      <c r="AH16" s="328"/>
      <c r="AI16" s="329"/>
      <c r="AJ16" s="327" t="s">
        <v>78</v>
      </c>
      <c r="AK16" s="328"/>
      <c r="AL16" s="328"/>
      <c r="AM16" s="328"/>
      <c r="AN16" s="328"/>
      <c r="AO16" s="329"/>
      <c r="AP16" s="327" t="s">
        <v>77</v>
      </c>
      <c r="AQ16" s="328"/>
      <c r="AR16" s="328"/>
      <c r="AS16" s="328"/>
      <c r="AT16" s="329"/>
      <c r="AU16" s="327" t="s">
        <v>76</v>
      </c>
      <c r="AV16" s="328"/>
      <c r="AW16" s="328"/>
      <c r="AX16" s="328"/>
      <c r="AY16" s="328"/>
      <c r="AZ16" s="328"/>
      <c r="BA16" s="328"/>
      <c r="BB16" s="328"/>
      <c r="BC16" s="329"/>
      <c r="BD16" s="167"/>
      <c r="BF16" s="282" t="s">
        <v>107</v>
      </c>
      <c r="BG16" s="278" t="s">
        <v>106</v>
      </c>
      <c r="BH16" s="312" t="s">
        <v>105</v>
      </c>
      <c r="BI16" s="312" t="s">
        <v>104</v>
      </c>
      <c r="BJ16" s="312" t="s">
        <v>103</v>
      </c>
      <c r="BK16" s="278" t="s">
        <v>102</v>
      </c>
      <c r="BL16" s="278" t="s">
        <v>101</v>
      </c>
      <c r="BM16" s="278" t="s">
        <v>100</v>
      </c>
      <c r="BN16" s="278" t="s">
        <v>99</v>
      </c>
      <c r="BO16" s="278" t="s">
        <v>98</v>
      </c>
      <c r="BP16" s="278" t="s">
        <v>97</v>
      </c>
      <c r="BQ16" s="278" t="s">
        <v>96</v>
      </c>
      <c r="BR16" s="278" t="s">
        <v>95</v>
      </c>
      <c r="BS16" s="312" t="s">
        <v>94</v>
      </c>
      <c r="BT16" s="278" t="s">
        <v>93</v>
      </c>
      <c r="BU16" s="278" t="s">
        <v>232</v>
      </c>
      <c r="BV16" s="278" t="s">
        <v>233</v>
      </c>
      <c r="BW16" s="278" t="s">
        <v>91</v>
      </c>
      <c r="BX16" s="278" t="s">
        <v>235</v>
      </c>
      <c r="BY16" s="278" t="s">
        <v>234</v>
      </c>
      <c r="BZ16" s="278" t="s">
        <v>89</v>
      </c>
      <c r="CA16" s="278" t="s">
        <v>237</v>
      </c>
      <c r="CB16" s="278" t="s">
        <v>236</v>
      </c>
      <c r="CC16" s="278" t="s">
        <v>245</v>
      </c>
      <c r="CD16" s="278" t="s">
        <v>246</v>
      </c>
      <c r="CE16" s="278" t="s">
        <v>247</v>
      </c>
      <c r="CF16" s="278" t="s">
        <v>251</v>
      </c>
      <c r="CG16" s="278" t="s">
        <v>252</v>
      </c>
      <c r="CI16" s="146"/>
      <c r="CJ16" s="168"/>
      <c r="CK16" s="168"/>
      <c r="CL16" s="168"/>
      <c r="CM16" s="168"/>
      <c r="CN16" s="168"/>
    </row>
    <row r="17" spans="2:92" ht="24.75" customHeight="1">
      <c r="B17" s="330"/>
      <c r="C17" s="331"/>
      <c r="D17" s="331"/>
      <c r="E17" s="331"/>
      <c r="F17" s="332"/>
      <c r="G17" s="321"/>
      <c r="H17" s="322"/>
      <c r="I17" s="322"/>
      <c r="J17" s="322"/>
      <c r="K17" s="322"/>
      <c r="L17" s="322"/>
      <c r="M17" s="323"/>
      <c r="N17" s="330"/>
      <c r="O17" s="331"/>
      <c r="P17" s="331"/>
      <c r="Q17" s="331"/>
      <c r="R17" s="331"/>
      <c r="S17" s="331"/>
      <c r="T17" s="331"/>
      <c r="U17" s="332"/>
      <c r="V17" s="330"/>
      <c r="W17" s="331"/>
      <c r="X17" s="331"/>
      <c r="Y17" s="331"/>
      <c r="Z17" s="331"/>
      <c r="AA17" s="331"/>
      <c r="AB17" s="332"/>
      <c r="AC17" s="330"/>
      <c r="AD17" s="331"/>
      <c r="AE17" s="331"/>
      <c r="AF17" s="331"/>
      <c r="AG17" s="331"/>
      <c r="AH17" s="331"/>
      <c r="AI17" s="332"/>
      <c r="AJ17" s="330"/>
      <c r="AK17" s="331"/>
      <c r="AL17" s="331"/>
      <c r="AM17" s="331"/>
      <c r="AN17" s="331"/>
      <c r="AO17" s="332"/>
      <c r="AP17" s="330"/>
      <c r="AQ17" s="331"/>
      <c r="AR17" s="331"/>
      <c r="AS17" s="331"/>
      <c r="AT17" s="332"/>
      <c r="AU17" s="330"/>
      <c r="AV17" s="331"/>
      <c r="AW17" s="331"/>
      <c r="AX17" s="331"/>
      <c r="AY17" s="331"/>
      <c r="AZ17" s="331"/>
      <c r="BA17" s="331"/>
      <c r="BB17" s="331"/>
      <c r="BC17" s="332"/>
      <c r="BD17" s="167"/>
      <c r="BF17" s="282"/>
      <c r="BG17" s="304"/>
      <c r="BH17" s="304"/>
      <c r="BI17" s="304"/>
      <c r="BJ17" s="304"/>
      <c r="BK17" s="279"/>
      <c r="BL17" s="279"/>
      <c r="BM17" s="279"/>
      <c r="BN17" s="279"/>
      <c r="BO17" s="304"/>
      <c r="BP17" s="304"/>
      <c r="BQ17" s="279"/>
      <c r="BR17" s="304"/>
      <c r="BS17" s="304"/>
      <c r="BT17" s="304"/>
      <c r="BU17" s="304"/>
      <c r="BV17" s="304"/>
      <c r="BW17" s="304"/>
      <c r="BX17" s="304"/>
      <c r="BY17" s="304"/>
      <c r="BZ17" s="304"/>
      <c r="CA17" s="279"/>
      <c r="CB17" s="279"/>
      <c r="CC17" s="304"/>
      <c r="CD17" s="279"/>
      <c r="CE17" s="279"/>
      <c r="CF17" s="279"/>
      <c r="CG17" s="279"/>
      <c r="CH17" s="146"/>
      <c r="CI17" s="146"/>
      <c r="CJ17" s="146"/>
      <c r="CK17" s="146"/>
      <c r="CL17" s="146"/>
      <c r="CM17" s="146"/>
      <c r="CN17" s="146"/>
    </row>
    <row r="18" spans="2:92" ht="24.75" customHeight="1">
      <c r="B18" s="330"/>
      <c r="C18" s="331"/>
      <c r="D18" s="331"/>
      <c r="E18" s="331"/>
      <c r="F18" s="332"/>
      <c r="G18" s="321"/>
      <c r="H18" s="322"/>
      <c r="I18" s="322"/>
      <c r="J18" s="322"/>
      <c r="K18" s="322"/>
      <c r="L18" s="322"/>
      <c r="M18" s="323"/>
      <c r="N18" s="330"/>
      <c r="O18" s="331"/>
      <c r="P18" s="331"/>
      <c r="Q18" s="331"/>
      <c r="R18" s="331"/>
      <c r="S18" s="331"/>
      <c r="T18" s="331"/>
      <c r="U18" s="332"/>
      <c r="V18" s="330"/>
      <c r="W18" s="331"/>
      <c r="X18" s="331"/>
      <c r="Y18" s="331"/>
      <c r="Z18" s="331"/>
      <c r="AA18" s="331"/>
      <c r="AB18" s="332"/>
      <c r="AC18" s="330"/>
      <c r="AD18" s="331"/>
      <c r="AE18" s="331"/>
      <c r="AF18" s="331"/>
      <c r="AG18" s="331"/>
      <c r="AH18" s="331"/>
      <c r="AI18" s="332"/>
      <c r="AJ18" s="330"/>
      <c r="AK18" s="331"/>
      <c r="AL18" s="331"/>
      <c r="AM18" s="331"/>
      <c r="AN18" s="331"/>
      <c r="AO18" s="332"/>
      <c r="AP18" s="330"/>
      <c r="AQ18" s="331"/>
      <c r="AR18" s="331"/>
      <c r="AS18" s="331"/>
      <c r="AT18" s="332"/>
      <c r="AU18" s="330"/>
      <c r="AV18" s="331"/>
      <c r="AW18" s="331"/>
      <c r="AX18" s="331"/>
      <c r="AY18" s="331"/>
      <c r="AZ18" s="331"/>
      <c r="BA18" s="331"/>
      <c r="BB18" s="331"/>
      <c r="BC18" s="332"/>
      <c r="BD18" s="167"/>
      <c r="BF18" s="282"/>
      <c r="BG18" s="304"/>
      <c r="BH18" s="304"/>
      <c r="BI18" s="304"/>
      <c r="BJ18" s="304"/>
      <c r="BK18" s="279"/>
      <c r="BL18" s="279"/>
      <c r="BM18" s="279"/>
      <c r="BN18" s="279"/>
      <c r="BO18" s="304"/>
      <c r="BP18" s="304"/>
      <c r="BQ18" s="279"/>
      <c r="BR18" s="304"/>
      <c r="BS18" s="304"/>
      <c r="BT18" s="304"/>
      <c r="BU18" s="304"/>
      <c r="BV18" s="304"/>
      <c r="BW18" s="304"/>
      <c r="BX18" s="304"/>
      <c r="BY18" s="304"/>
      <c r="BZ18" s="304"/>
      <c r="CA18" s="279"/>
      <c r="CB18" s="279"/>
      <c r="CC18" s="304"/>
      <c r="CD18" s="279"/>
      <c r="CE18" s="279"/>
      <c r="CF18" s="279"/>
      <c r="CG18" s="279"/>
      <c r="CH18" s="146"/>
      <c r="CI18" s="146"/>
      <c r="CJ18" s="146"/>
      <c r="CK18" s="146"/>
      <c r="CL18" s="146"/>
      <c r="CM18" s="146"/>
      <c r="CN18" s="146"/>
    </row>
    <row r="19" spans="2:92" ht="24.75" customHeight="1">
      <c r="B19" s="333"/>
      <c r="C19" s="334"/>
      <c r="D19" s="334"/>
      <c r="E19" s="334"/>
      <c r="F19" s="335"/>
      <c r="G19" s="324"/>
      <c r="H19" s="325"/>
      <c r="I19" s="325"/>
      <c r="J19" s="325"/>
      <c r="K19" s="325"/>
      <c r="L19" s="325"/>
      <c r="M19" s="326"/>
      <c r="N19" s="333"/>
      <c r="O19" s="334"/>
      <c r="P19" s="334"/>
      <c r="Q19" s="334"/>
      <c r="R19" s="334"/>
      <c r="S19" s="334"/>
      <c r="T19" s="334"/>
      <c r="U19" s="335"/>
      <c r="V19" s="333"/>
      <c r="W19" s="334"/>
      <c r="X19" s="334"/>
      <c r="Y19" s="334"/>
      <c r="Z19" s="334"/>
      <c r="AA19" s="334"/>
      <c r="AB19" s="335"/>
      <c r="AC19" s="333"/>
      <c r="AD19" s="334"/>
      <c r="AE19" s="334"/>
      <c r="AF19" s="334"/>
      <c r="AG19" s="334"/>
      <c r="AH19" s="334"/>
      <c r="AI19" s="335"/>
      <c r="AJ19" s="333"/>
      <c r="AK19" s="334"/>
      <c r="AL19" s="334"/>
      <c r="AM19" s="334"/>
      <c r="AN19" s="334"/>
      <c r="AO19" s="335"/>
      <c r="AP19" s="333"/>
      <c r="AQ19" s="334"/>
      <c r="AR19" s="334"/>
      <c r="AS19" s="334"/>
      <c r="AT19" s="335"/>
      <c r="AU19" s="333"/>
      <c r="AV19" s="334"/>
      <c r="AW19" s="334"/>
      <c r="AX19" s="334"/>
      <c r="AY19" s="334"/>
      <c r="AZ19" s="334"/>
      <c r="BA19" s="334"/>
      <c r="BB19" s="334"/>
      <c r="BC19" s="335"/>
      <c r="BD19" s="167"/>
      <c r="BF19" s="282"/>
      <c r="BG19" s="305"/>
      <c r="BH19" s="305"/>
      <c r="BI19" s="305"/>
      <c r="BJ19" s="305"/>
      <c r="BK19" s="280"/>
      <c r="BL19" s="280"/>
      <c r="BM19" s="280"/>
      <c r="BN19" s="280"/>
      <c r="BO19" s="305"/>
      <c r="BP19" s="305"/>
      <c r="BQ19" s="280"/>
      <c r="BR19" s="305"/>
      <c r="BS19" s="305"/>
      <c r="BT19" s="305"/>
      <c r="BU19" s="305"/>
      <c r="BV19" s="305"/>
      <c r="BW19" s="305"/>
      <c r="BX19" s="305"/>
      <c r="BY19" s="305"/>
      <c r="BZ19" s="305"/>
      <c r="CA19" s="280"/>
      <c r="CB19" s="280"/>
      <c r="CC19" s="305"/>
      <c r="CD19" s="280"/>
      <c r="CE19" s="280"/>
      <c r="CF19" s="280"/>
      <c r="CG19" s="280"/>
      <c r="CH19" s="146"/>
      <c r="CI19" s="146"/>
      <c r="CJ19" s="146"/>
      <c r="CK19" s="146"/>
      <c r="CL19" s="146"/>
      <c r="CM19" s="146"/>
      <c r="CN19" s="146"/>
    </row>
    <row r="20" spans="2:92" ht="24.75" customHeight="1">
      <c r="B20" s="291" t="s">
        <v>75</v>
      </c>
      <c r="C20" s="292"/>
      <c r="D20" s="292"/>
      <c r="E20" s="292"/>
      <c r="F20" s="293"/>
      <c r="G20" s="349"/>
      <c r="H20" s="349"/>
      <c r="I20" s="349"/>
      <c r="J20" s="349"/>
      <c r="K20" s="349"/>
      <c r="L20" s="349"/>
      <c r="M20" s="349"/>
      <c r="N20" s="297"/>
      <c r="O20" s="298"/>
      <c r="P20" s="298"/>
      <c r="Q20" s="298"/>
      <c r="R20" s="298"/>
      <c r="S20" s="298"/>
      <c r="T20" s="298"/>
      <c r="U20" s="299"/>
      <c r="V20" s="300"/>
      <c r="W20" s="300"/>
      <c r="X20" s="300"/>
      <c r="Y20" s="300"/>
      <c r="Z20" s="300"/>
      <c r="AA20" s="300"/>
      <c r="AB20" s="300"/>
      <c r="AC20" s="300"/>
      <c r="AD20" s="300"/>
      <c r="AE20" s="300"/>
      <c r="AF20" s="300"/>
      <c r="AG20" s="300"/>
      <c r="AH20" s="300"/>
      <c r="AI20" s="300"/>
      <c r="AJ20" s="294"/>
      <c r="AK20" s="295"/>
      <c r="AL20" s="295"/>
      <c r="AM20" s="295"/>
      <c r="AN20" s="295"/>
      <c r="AO20" s="296"/>
      <c r="AP20" s="294"/>
      <c r="AQ20" s="295"/>
      <c r="AR20" s="295"/>
      <c r="AS20" s="295"/>
      <c r="AT20" s="296"/>
      <c r="AU20" s="342"/>
      <c r="AV20" s="343"/>
      <c r="AW20" s="343"/>
      <c r="AX20" s="343"/>
      <c r="AY20" s="343"/>
      <c r="AZ20" s="343"/>
      <c r="BA20" s="343"/>
      <c r="BB20" s="343"/>
      <c r="BC20" s="344"/>
      <c r="BD20" s="167"/>
      <c r="BF20" s="169">
        <v>1</v>
      </c>
      <c r="BG20" s="170">
        <f>IF(BP20-BQ20-BR20&gt;0,BP20-BQ20-BR20,0)</f>
        <v>0</v>
      </c>
      <c r="BH20" s="170">
        <f>IF(G20="65歳～74歳",VLOOKUP(V20,$BU$64:$CE$69,BF20+3),VLOOKUP(V20,$BU$56:$CE$62,BF20+3))</f>
        <v>0</v>
      </c>
      <c r="BI20" s="170">
        <f>IF(AC20+BG20+BH20&lt;0,0,AC20+BG20+BH20)</f>
        <v>0</v>
      </c>
      <c r="BJ20" s="170">
        <f>IF(BI20&gt;=$BU$76,BI20,IF(BI20&gt;=$BU$75,BI20-$BW$75,IF(BI20&gt;=$BU$74,BI20-$BW$74,IF(BI20&gt;$BU$73,IF(BI20-$BW$73&lt;0,0,BI20-$BW$73),0))))</f>
        <v>0</v>
      </c>
      <c r="BK20" s="171">
        <f t="shared" ref="BK20:BK27" si="0">IF(N20&gt;$BW$42,1,0)</f>
        <v>0</v>
      </c>
      <c r="BL20" s="171">
        <f t="shared" ref="BL20:BL27" si="1">IF(G20="65歳～74歳",IF(V20&gt;1250000,1,0),IF(V20&gt;600000,1,0))</f>
        <v>0</v>
      </c>
      <c r="BM20" s="171">
        <f>IF(SUM(BK20:BL20)&gt;0,1,0)</f>
        <v>0</v>
      </c>
      <c r="BN20" s="171">
        <f>IF(AP20&lt;&gt;"擬制世帯主",IF(G20&lt;&gt;"",1,0),0)</f>
        <v>0</v>
      </c>
      <c r="BO20" s="172">
        <f t="shared" ref="BO20:BO27" si="2">VLOOKUP(N20,$BU$40:$CE$47,BF20+3)</f>
        <v>0</v>
      </c>
      <c r="BP20" s="172">
        <f>IF(AJ20="非自発的失業",INT(BO20*30%),BO20)</f>
        <v>0</v>
      </c>
      <c r="BQ20" s="172">
        <f>ROUNDUP(IF(AND(N20&gt;8500000,AU20="所得金額調整控除該当"),IF(N20&gt;10000000,(10000000-8500000)*10%,(N20-8500000)*10%),0),0)</f>
        <v>0</v>
      </c>
      <c r="BR20" s="172">
        <f t="shared" ref="BR20:BR27" si="3">IF(AND(BP20-BQ20&gt;0,BH20&gt;0),(IF((BP20-BQ20)&gt;100000,100000,(BP20-BQ20))+IF(BH20&gt;100000,100000,BH20))-100000,0)</f>
        <v>0</v>
      </c>
      <c r="BS20" s="172">
        <f>IF(G20="65歳～74歳",IF(BH20&gt;=150000,BI20-150000,BI20-BH20),BI20)</f>
        <v>0</v>
      </c>
      <c r="BT20" s="172" t="str">
        <f>IF(G20="","",IF(AP20="",INT(BJ20*$BT$6),0))</f>
        <v/>
      </c>
      <c r="BU20" s="172" t="str">
        <f>IF(OR($G20="",$AP20="擬制世帯主"),"",IF($G20="未就学児",$BU$6/2,$BU$6))</f>
        <v/>
      </c>
      <c r="BV20" s="172" t="str">
        <f>IF(OR($G20="",$AP20="擬制世帯主"),"",IF($G20="未就学児",$BU$6*$BT$36/2,$BU$6*$BT$36))</f>
        <v/>
      </c>
      <c r="BW20" s="172" t="str">
        <f>IF(G20="","",IF(AP20="",INT(BJ20*$BV$6),0))</f>
        <v/>
      </c>
      <c r="BX20" s="172" t="str">
        <f>IF(OR($G20="",$AP20="擬制世帯主"),"",IF($G20="未就学児",$BW$6/2,$BW$6))</f>
        <v/>
      </c>
      <c r="BY20" s="172" t="str">
        <f>IF(OR($G20="",$AP20="擬制世帯主"),"",IF($G20="未就学児",$BW$6*$BT$36/2,$BW$6*$BT$36))</f>
        <v/>
      </c>
      <c r="BZ20" s="172" t="str">
        <f>IF(G20="40歳～64歳",IF(AP20="",INT(BJ20*$BX$6),0),"")</f>
        <v/>
      </c>
      <c r="CA20" s="172" t="str">
        <f>IF(OR($G20&lt;&gt;"40歳～64歳",$AP20="擬制世帯主"),"",$BY$6)</f>
        <v/>
      </c>
      <c r="CB20" s="172" t="str">
        <f>IF(OR($G20&lt;&gt;"40歳～64歳",$AP20="擬制世帯主"),"",$BY$6*$BT$36)</f>
        <v/>
      </c>
      <c r="CC20" s="172" t="str">
        <f>IF(G20="","",IF(AP20="",INT(BJ20*$BZ$6),0))</f>
        <v/>
      </c>
      <c r="CD20" s="172" t="str">
        <f>IF($G20="","",IF(OR($G20="未就学児",$G20="6歳～17歳",,$AP20="擬制世帯主"),"",$CA$6))</f>
        <v/>
      </c>
      <c r="CE20" s="172" t="str">
        <f>IF($G20="","",IF(OR($G20="未就学児",$G20="6歳～17歳",,$AP20="擬制世帯主"),"",$CA$6*$BT$36))</f>
        <v/>
      </c>
      <c r="CF20" s="172" t="str">
        <f>IF($G20="","",IF(OR($G20="未就学児",$G20="6歳～17歳",,$AP20="擬制世帯主"),"",$CB$6))</f>
        <v/>
      </c>
      <c r="CG20" s="172" t="str">
        <f>IF($G20="","",IF(OR($G20="未就学児",$G20="6歳～17歳",,$AP20="擬制世帯主"),"",$CB$6*$BT$36))</f>
        <v/>
      </c>
      <c r="CH20" s="144"/>
      <c r="CI20" s="146"/>
    </row>
    <row r="21" spans="2:92" ht="24.75" customHeight="1">
      <c r="B21" s="291" t="s">
        <v>208</v>
      </c>
      <c r="C21" s="292"/>
      <c r="D21" s="292"/>
      <c r="E21" s="292"/>
      <c r="F21" s="293"/>
      <c r="G21" s="294"/>
      <c r="H21" s="295"/>
      <c r="I21" s="295"/>
      <c r="J21" s="295"/>
      <c r="K21" s="295"/>
      <c r="L21" s="295"/>
      <c r="M21" s="296"/>
      <c r="N21" s="297"/>
      <c r="O21" s="298"/>
      <c r="P21" s="298"/>
      <c r="Q21" s="298"/>
      <c r="R21" s="298"/>
      <c r="S21" s="298"/>
      <c r="T21" s="298"/>
      <c r="U21" s="299"/>
      <c r="V21" s="300"/>
      <c r="W21" s="300"/>
      <c r="X21" s="300"/>
      <c r="Y21" s="300"/>
      <c r="Z21" s="300"/>
      <c r="AA21" s="300"/>
      <c r="AB21" s="300"/>
      <c r="AC21" s="300"/>
      <c r="AD21" s="300"/>
      <c r="AE21" s="300"/>
      <c r="AF21" s="300"/>
      <c r="AG21" s="300"/>
      <c r="AH21" s="300"/>
      <c r="AI21" s="300"/>
      <c r="AJ21" s="294"/>
      <c r="AK21" s="295"/>
      <c r="AL21" s="295"/>
      <c r="AM21" s="295"/>
      <c r="AN21" s="295"/>
      <c r="AO21" s="296"/>
      <c r="AP21" s="301"/>
      <c r="AQ21" s="302"/>
      <c r="AR21" s="302"/>
      <c r="AS21" s="302"/>
      <c r="AT21" s="303"/>
      <c r="AU21" s="342"/>
      <c r="AV21" s="343"/>
      <c r="AW21" s="343"/>
      <c r="AX21" s="343"/>
      <c r="AY21" s="343"/>
      <c r="AZ21" s="343"/>
      <c r="BA21" s="343"/>
      <c r="BB21" s="343"/>
      <c r="BC21" s="344"/>
      <c r="BD21" s="167"/>
      <c r="BF21" s="169">
        <v>2</v>
      </c>
      <c r="BG21" s="170">
        <f t="shared" ref="BG21:BG27" si="4">IF(BP21-BQ21-BR21&gt;0,BP21-BQ21-BR21,0)</f>
        <v>0</v>
      </c>
      <c r="BH21" s="170">
        <f t="shared" ref="BH21:BH27" si="5">IF(G21="65歳～74歳",VLOOKUP(V21,$BU$64:$CE$69,BF21+3),VLOOKUP(V21,$BU$56:$CE$62,BF21+3))</f>
        <v>0</v>
      </c>
      <c r="BI21" s="170">
        <f t="shared" ref="BI21:BI27" si="6">IF(AC21+BG21+BH21&lt;0,0,AC21+BG21+BH21)</f>
        <v>0</v>
      </c>
      <c r="BJ21" s="170">
        <f t="shared" ref="BJ21:BJ27" si="7">IF(BI21&gt;=$BU$76,BI21,IF(BI21&gt;=$BU$75,BI21-$BW$75,IF(BI21&gt;=$BU$74,BI21-$BW$74,IF(BI21&gt;$BU$73,IF(BI21-$BW$73&lt;0,0,BI21-$BW$73),0))))</f>
        <v>0</v>
      </c>
      <c r="BK21" s="171">
        <f t="shared" si="0"/>
        <v>0</v>
      </c>
      <c r="BL21" s="171">
        <f t="shared" si="1"/>
        <v>0</v>
      </c>
      <c r="BM21" s="171">
        <f t="shared" ref="BM21:BM27" si="8">IF(SUM(BK21:BL21)&gt;0,1,0)</f>
        <v>0</v>
      </c>
      <c r="BN21" s="171">
        <f t="shared" ref="BN21:BN27" si="9">IF(AP21&lt;&gt;"擬制世帯主",IF(G21&lt;&gt;"",1,0),0)</f>
        <v>0</v>
      </c>
      <c r="BO21" s="172">
        <f t="shared" si="2"/>
        <v>0</v>
      </c>
      <c r="BP21" s="172">
        <f>IF(AJ21="非自発的失業",INT(BO21*30%),BO21)</f>
        <v>0</v>
      </c>
      <c r="BQ21" s="172">
        <f t="shared" ref="BQ21:BQ27" si="10">ROUNDUP(IF(AND(N21&gt;8500000,AU21="所得金額調整控除該当"),IF(N21&gt;10000000,(10000000-8500000)*10%,(N21-8500000)*10%),0),0)</f>
        <v>0</v>
      </c>
      <c r="BR21" s="172">
        <f t="shared" si="3"/>
        <v>0</v>
      </c>
      <c r="BS21" s="172">
        <f t="shared" ref="BS21:BS27" si="11">IF(G21="65歳～74歳",IF(BH21&gt;=150000,BI21-150000,BI21-BH21),BI21)</f>
        <v>0</v>
      </c>
      <c r="BT21" s="172" t="str">
        <f t="shared" ref="BT21:BT27" si="12">IF(G21="","",IF(AP21="",INT(BJ21*$BT$6),0))</f>
        <v/>
      </c>
      <c r="BU21" s="172" t="str">
        <f t="shared" ref="BU21:BU27" si="13">IF($G21="","",IF($G21="未就学児",$BU$6/2,$BU$6))</f>
        <v/>
      </c>
      <c r="BV21" s="172" t="str">
        <f t="shared" ref="BV21:BV27" si="14">IF($G21="","",IF($G21="未就学児",$BU$6*$BT$36/2,$BU$6*$BT$36))</f>
        <v/>
      </c>
      <c r="BW21" s="172" t="str">
        <f t="shared" ref="BW21:BW27" si="15">IF(G21="","",IF(AP21="",INT(BJ21*$BV$6),0))</f>
        <v/>
      </c>
      <c r="BX21" s="172" t="str">
        <f t="shared" ref="BX21:BX27" si="16">IF($G21="","",IF($G21="未就学児",$BW$6/2,$BW$6))</f>
        <v/>
      </c>
      <c r="BY21" s="172" t="str">
        <f t="shared" ref="BY21:BY27" si="17">IF($G21="","",IF($G21="未就学児",$BW$6*$BT$36/2,$BW$6*$BT$36))</f>
        <v/>
      </c>
      <c r="BZ21" s="172" t="str">
        <f>IF(G21="40歳～64歳",IF(AP21="",INT(BJ21*$BX$6),0),"")</f>
        <v/>
      </c>
      <c r="CA21" s="172" t="str">
        <f t="shared" ref="CA21:CA27" si="18">IF($G21&lt;&gt;"40歳～64歳","",$BY$6)</f>
        <v/>
      </c>
      <c r="CB21" s="172" t="str">
        <f t="shared" ref="CB21:CB27" si="19">IF($G21&lt;&gt;"40歳～64歳","",$BY$6*$BT$36)</f>
        <v/>
      </c>
      <c r="CC21" s="172" t="str">
        <f t="shared" ref="CC21:CC27" si="20">IF(G21="","",IF(AU21="",INT(BJ21*$BZ$6),0))</f>
        <v/>
      </c>
      <c r="CD21" s="172" t="str">
        <f>IF($G21="","",IF(OR($G21="未就学児",$G21="6歳～17歳"),"",$CA$6))</f>
        <v/>
      </c>
      <c r="CE21" s="172" t="str">
        <f>IF($G21="","",IF(OR($G21="未就学児",$G21="6歳～17歳"),"",$CA$6*$BT$36))</f>
        <v/>
      </c>
      <c r="CF21" s="172" t="str">
        <f>IF($G21="","",IF(OR($G21="未就学児",$G21="6歳～17歳"),"",$CB$6))</f>
        <v/>
      </c>
      <c r="CG21" s="172" t="str">
        <f>IF($G21="","",IF(OR($G21="未就学児",$G21="6歳～17歳"),"",$CB$6*$BT$36))</f>
        <v/>
      </c>
      <c r="CK21" s="143"/>
      <c r="CL21" s="143"/>
    </row>
    <row r="22" spans="2:92" ht="24.75" customHeight="1">
      <c r="B22" s="291" t="s">
        <v>209</v>
      </c>
      <c r="C22" s="292"/>
      <c r="D22" s="292"/>
      <c r="E22" s="292"/>
      <c r="F22" s="293"/>
      <c r="G22" s="294"/>
      <c r="H22" s="295"/>
      <c r="I22" s="295"/>
      <c r="J22" s="295"/>
      <c r="K22" s="295"/>
      <c r="L22" s="295"/>
      <c r="M22" s="296"/>
      <c r="N22" s="297"/>
      <c r="O22" s="298"/>
      <c r="P22" s="298"/>
      <c r="Q22" s="298"/>
      <c r="R22" s="298"/>
      <c r="S22" s="298"/>
      <c r="T22" s="298"/>
      <c r="U22" s="299"/>
      <c r="V22" s="300"/>
      <c r="W22" s="300"/>
      <c r="X22" s="300"/>
      <c r="Y22" s="300"/>
      <c r="Z22" s="300"/>
      <c r="AA22" s="300"/>
      <c r="AB22" s="300"/>
      <c r="AC22" s="300"/>
      <c r="AD22" s="300"/>
      <c r="AE22" s="300"/>
      <c r="AF22" s="300"/>
      <c r="AG22" s="300"/>
      <c r="AH22" s="300"/>
      <c r="AI22" s="300"/>
      <c r="AJ22" s="294"/>
      <c r="AK22" s="295"/>
      <c r="AL22" s="295"/>
      <c r="AM22" s="295"/>
      <c r="AN22" s="295"/>
      <c r="AO22" s="296"/>
      <c r="AP22" s="301"/>
      <c r="AQ22" s="302"/>
      <c r="AR22" s="302"/>
      <c r="AS22" s="302"/>
      <c r="AT22" s="303"/>
      <c r="AU22" s="342"/>
      <c r="AV22" s="343"/>
      <c r="AW22" s="343"/>
      <c r="AX22" s="343"/>
      <c r="AY22" s="343"/>
      <c r="AZ22" s="343"/>
      <c r="BA22" s="343"/>
      <c r="BB22" s="343"/>
      <c r="BC22" s="344"/>
      <c r="BD22" s="167"/>
      <c r="BF22" s="169">
        <v>3</v>
      </c>
      <c r="BG22" s="170">
        <f t="shared" si="4"/>
        <v>0</v>
      </c>
      <c r="BH22" s="170">
        <f t="shared" si="5"/>
        <v>0</v>
      </c>
      <c r="BI22" s="170">
        <f t="shared" si="6"/>
        <v>0</v>
      </c>
      <c r="BJ22" s="170">
        <f t="shared" si="7"/>
        <v>0</v>
      </c>
      <c r="BK22" s="171">
        <f t="shared" si="0"/>
        <v>0</v>
      </c>
      <c r="BL22" s="171">
        <f t="shared" si="1"/>
        <v>0</v>
      </c>
      <c r="BM22" s="171">
        <f t="shared" si="8"/>
        <v>0</v>
      </c>
      <c r="BN22" s="171">
        <f t="shared" si="9"/>
        <v>0</v>
      </c>
      <c r="BO22" s="172">
        <f t="shared" si="2"/>
        <v>0</v>
      </c>
      <c r="BP22" s="172">
        <f t="shared" ref="BP22:BP27" si="21">IF(AJ22="非自発的失業",INT(BO22*30%),BO22)</f>
        <v>0</v>
      </c>
      <c r="BQ22" s="172">
        <f t="shared" si="10"/>
        <v>0</v>
      </c>
      <c r="BR22" s="172">
        <f t="shared" si="3"/>
        <v>0</v>
      </c>
      <c r="BS22" s="172">
        <f t="shared" si="11"/>
        <v>0</v>
      </c>
      <c r="BT22" s="172" t="str">
        <f t="shared" si="12"/>
        <v/>
      </c>
      <c r="BU22" s="172" t="str">
        <f t="shared" si="13"/>
        <v/>
      </c>
      <c r="BV22" s="172" t="str">
        <f t="shared" si="14"/>
        <v/>
      </c>
      <c r="BW22" s="172" t="str">
        <f t="shared" si="15"/>
        <v/>
      </c>
      <c r="BX22" s="172" t="str">
        <f t="shared" si="16"/>
        <v/>
      </c>
      <c r="BY22" s="172" t="str">
        <f t="shared" si="17"/>
        <v/>
      </c>
      <c r="BZ22" s="172" t="str">
        <f t="shared" ref="BZ22:BZ27" si="22">IF(G22="40歳～64歳",IF(AP22="",INT(BJ22*$BX$6),0),"")</f>
        <v/>
      </c>
      <c r="CA22" s="172" t="str">
        <f t="shared" si="18"/>
        <v/>
      </c>
      <c r="CB22" s="172" t="str">
        <f t="shared" si="19"/>
        <v/>
      </c>
      <c r="CC22" s="172" t="str">
        <f t="shared" si="20"/>
        <v/>
      </c>
      <c r="CD22" s="172" t="str">
        <f t="shared" ref="CD22:CD26" si="23">IF($G22="","",IF(OR($G22="未就学児",$G22="6歳～17歳"),"",$CA$6))</f>
        <v/>
      </c>
      <c r="CE22" s="172" t="str">
        <f t="shared" ref="CE22:CE27" si="24">IF($G22="","",IF(OR($G22="未就学児",$G22="6歳～17歳"),"",$CA$6*$BT$36))</f>
        <v/>
      </c>
      <c r="CF22" s="172" t="str">
        <f t="shared" ref="CF22:CF27" si="25">IF($G22="","",IF(OR($G22="未就学児",$G22="6歳～17歳"),"",$CB$6))</f>
        <v/>
      </c>
      <c r="CG22" s="172" t="str">
        <f t="shared" ref="CG22:CG27" si="26">IF($G22="","",IF(OR($G22="未就学児",$G22="6歳～17歳"),"",$CB$6*$BT$36))</f>
        <v/>
      </c>
      <c r="CK22" s="143"/>
      <c r="CL22" s="143"/>
    </row>
    <row r="23" spans="2:92" ht="24.75" customHeight="1">
      <c r="B23" s="291" t="s">
        <v>210</v>
      </c>
      <c r="C23" s="292"/>
      <c r="D23" s="292"/>
      <c r="E23" s="292"/>
      <c r="F23" s="293"/>
      <c r="G23" s="294"/>
      <c r="H23" s="295"/>
      <c r="I23" s="295"/>
      <c r="J23" s="295"/>
      <c r="K23" s="295"/>
      <c r="L23" s="295"/>
      <c r="M23" s="296"/>
      <c r="N23" s="297"/>
      <c r="O23" s="298"/>
      <c r="P23" s="298"/>
      <c r="Q23" s="298"/>
      <c r="R23" s="298"/>
      <c r="S23" s="298"/>
      <c r="T23" s="298"/>
      <c r="U23" s="299"/>
      <c r="V23" s="300"/>
      <c r="W23" s="300"/>
      <c r="X23" s="300"/>
      <c r="Y23" s="300"/>
      <c r="Z23" s="300"/>
      <c r="AA23" s="300"/>
      <c r="AB23" s="300"/>
      <c r="AC23" s="300"/>
      <c r="AD23" s="300"/>
      <c r="AE23" s="300"/>
      <c r="AF23" s="300"/>
      <c r="AG23" s="300"/>
      <c r="AH23" s="300"/>
      <c r="AI23" s="300"/>
      <c r="AJ23" s="294"/>
      <c r="AK23" s="295"/>
      <c r="AL23" s="295"/>
      <c r="AM23" s="295"/>
      <c r="AN23" s="295"/>
      <c r="AO23" s="296"/>
      <c r="AP23" s="301"/>
      <c r="AQ23" s="302"/>
      <c r="AR23" s="302"/>
      <c r="AS23" s="302"/>
      <c r="AT23" s="303"/>
      <c r="AU23" s="342"/>
      <c r="AV23" s="343"/>
      <c r="AW23" s="343"/>
      <c r="AX23" s="343"/>
      <c r="AY23" s="343"/>
      <c r="AZ23" s="343"/>
      <c r="BA23" s="343"/>
      <c r="BB23" s="343"/>
      <c r="BC23" s="344"/>
      <c r="BD23" s="167"/>
      <c r="BF23" s="169">
        <v>4</v>
      </c>
      <c r="BG23" s="170">
        <f t="shared" si="4"/>
        <v>0</v>
      </c>
      <c r="BH23" s="170">
        <f t="shared" si="5"/>
        <v>0</v>
      </c>
      <c r="BI23" s="170">
        <f t="shared" si="6"/>
        <v>0</v>
      </c>
      <c r="BJ23" s="170">
        <f t="shared" si="7"/>
        <v>0</v>
      </c>
      <c r="BK23" s="171">
        <f t="shared" si="0"/>
        <v>0</v>
      </c>
      <c r="BL23" s="171">
        <f t="shared" si="1"/>
        <v>0</v>
      </c>
      <c r="BM23" s="171">
        <f t="shared" si="8"/>
        <v>0</v>
      </c>
      <c r="BN23" s="171">
        <f t="shared" si="9"/>
        <v>0</v>
      </c>
      <c r="BO23" s="172">
        <f t="shared" si="2"/>
        <v>0</v>
      </c>
      <c r="BP23" s="172">
        <f t="shared" si="21"/>
        <v>0</v>
      </c>
      <c r="BQ23" s="172">
        <f t="shared" si="10"/>
        <v>0</v>
      </c>
      <c r="BR23" s="172">
        <f t="shared" si="3"/>
        <v>0</v>
      </c>
      <c r="BS23" s="172">
        <f t="shared" si="11"/>
        <v>0</v>
      </c>
      <c r="BT23" s="172" t="str">
        <f t="shared" si="12"/>
        <v/>
      </c>
      <c r="BU23" s="172" t="str">
        <f t="shared" si="13"/>
        <v/>
      </c>
      <c r="BV23" s="172" t="str">
        <f t="shared" si="14"/>
        <v/>
      </c>
      <c r="BW23" s="172" t="str">
        <f t="shared" si="15"/>
        <v/>
      </c>
      <c r="BX23" s="172" t="str">
        <f t="shared" si="16"/>
        <v/>
      </c>
      <c r="BY23" s="172" t="str">
        <f>IF($G23="","",IF($G23="未就学児",$BW$6*$BT$36/2,$BW$6*$BT$36))</f>
        <v/>
      </c>
      <c r="BZ23" s="172" t="str">
        <f t="shared" si="22"/>
        <v/>
      </c>
      <c r="CA23" s="172" t="str">
        <f t="shared" si="18"/>
        <v/>
      </c>
      <c r="CB23" s="172" t="str">
        <f t="shared" si="19"/>
        <v/>
      </c>
      <c r="CC23" s="172" t="str">
        <f t="shared" si="20"/>
        <v/>
      </c>
      <c r="CD23" s="172" t="str">
        <f t="shared" si="23"/>
        <v/>
      </c>
      <c r="CE23" s="172" t="str">
        <f t="shared" si="24"/>
        <v/>
      </c>
      <c r="CF23" s="172" t="str">
        <f t="shared" si="25"/>
        <v/>
      </c>
      <c r="CG23" s="172" t="str">
        <f t="shared" si="26"/>
        <v/>
      </c>
      <c r="CK23" s="143"/>
      <c r="CL23" s="143"/>
    </row>
    <row r="24" spans="2:92" ht="24.75" customHeight="1">
      <c r="B24" s="291" t="s">
        <v>211</v>
      </c>
      <c r="C24" s="292"/>
      <c r="D24" s="292"/>
      <c r="E24" s="292"/>
      <c r="F24" s="293"/>
      <c r="G24" s="294"/>
      <c r="H24" s="295"/>
      <c r="I24" s="295"/>
      <c r="J24" s="295"/>
      <c r="K24" s="295"/>
      <c r="L24" s="295"/>
      <c r="M24" s="296"/>
      <c r="N24" s="297"/>
      <c r="O24" s="298"/>
      <c r="P24" s="298"/>
      <c r="Q24" s="298"/>
      <c r="R24" s="298"/>
      <c r="S24" s="298"/>
      <c r="T24" s="298"/>
      <c r="U24" s="299"/>
      <c r="V24" s="300"/>
      <c r="W24" s="300"/>
      <c r="X24" s="300"/>
      <c r="Y24" s="300"/>
      <c r="Z24" s="300"/>
      <c r="AA24" s="300"/>
      <c r="AB24" s="300"/>
      <c r="AC24" s="300"/>
      <c r="AD24" s="300"/>
      <c r="AE24" s="300"/>
      <c r="AF24" s="300"/>
      <c r="AG24" s="300"/>
      <c r="AH24" s="300"/>
      <c r="AI24" s="300"/>
      <c r="AJ24" s="294"/>
      <c r="AK24" s="295"/>
      <c r="AL24" s="295"/>
      <c r="AM24" s="295"/>
      <c r="AN24" s="295"/>
      <c r="AO24" s="296"/>
      <c r="AP24" s="301"/>
      <c r="AQ24" s="302"/>
      <c r="AR24" s="302"/>
      <c r="AS24" s="302"/>
      <c r="AT24" s="303"/>
      <c r="AU24" s="342"/>
      <c r="AV24" s="343"/>
      <c r="AW24" s="343"/>
      <c r="AX24" s="343"/>
      <c r="AY24" s="343"/>
      <c r="AZ24" s="343"/>
      <c r="BA24" s="343"/>
      <c r="BB24" s="343"/>
      <c r="BC24" s="344"/>
      <c r="BD24" s="167"/>
      <c r="BF24" s="169">
        <v>5</v>
      </c>
      <c r="BG24" s="170">
        <f t="shared" si="4"/>
        <v>0</v>
      </c>
      <c r="BH24" s="170">
        <f t="shared" si="5"/>
        <v>0</v>
      </c>
      <c r="BI24" s="170">
        <f t="shared" si="6"/>
        <v>0</v>
      </c>
      <c r="BJ24" s="170">
        <f t="shared" si="7"/>
        <v>0</v>
      </c>
      <c r="BK24" s="171">
        <f t="shared" si="0"/>
        <v>0</v>
      </c>
      <c r="BL24" s="171">
        <f t="shared" si="1"/>
        <v>0</v>
      </c>
      <c r="BM24" s="171">
        <f t="shared" si="8"/>
        <v>0</v>
      </c>
      <c r="BN24" s="171">
        <f t="shared" si="9"/>
        <v>0</v>
      </c>
      <c r="BO24" s="172">
        <f t="shared" si="2"/>
        <v>0</v>
      </c>
      <c r="BP24" s="172">
        <f t="shared" si="21"/>
        <v>0</v>
      </c>
      <c r="BQ24" s="172">
        <f t="shared" si="10"/>
        <v>0</v>
      </c>
      <c r="BR24" s="172">
        <f t="shared" si="3"/>
        <v>0</v>
      </c>
      <c r="BS24" s="172">
        <f t="shared" si="11"/>
        <v>0</v>
      </c>
      <c r="BT24" s="172" t="str">
        <f t="shared" si="12"/>
        <v/>
      </c>
      <c r="BU24" s="172" t="str">
        <f t="shared" si="13"/>
        <v/>
      </c>
      <c r="BV24" s="172" t="str">
        <f t="shared" si="14"/>
        <v/>
      </c>
      <c r="BW24" s="172" t="str">
        <f t="shared" si="15"/>
        <v/>
      </c>
      <c r="BX24" s="172" t="str">
        <f t="shared" si="16"/>
        <v/>
      </c>
      <c r="BY24" s="172" t="str">
        <f t="shared" si="17"/>
        <v/>
      </c>
      <c r="BZ24" s="172" t="str">
        <f t="shared" si="22"/>
        <v/>
      </c>
      <c r="CA24" s="172" t="str">
        <f t="shared" si="18"/>
        <v/>
      </c>
      <c r="CB24" s="172" t="str">
        <f t="shared" si="19"/>
        <v/>
      </c>
      <c r="CC24" s="172" t="str">
        <f t="shared" si="20"/>
        <v/>
      </c>
      <c r="CD24" s="172" t="str">
        <f t="shared" si="23"/>
        <v/>
      </c>
      <c r="CE24" s="172" t="str">
        <f t="shared" si="24"/>
        <v/>
      </c>
      <c r="CF24" s="172" t="str">
        <f t="shared" si="25"/>
        <v/>
      </c>
      <c r="CG24" s="172" t="str">
        <f t="shared" si="26"/>
        <v/>
      </c>
      <c r="CK24" s="143"/>
      <c r="CL24" s="143"/>
    </row>
    <row r="25" spans="2:92" ht="24.75" customHeight="1">
      <c r="B25" s="291" t="s">
        <v>212</v>
      </c>
      <c r="C25" s="292"/>
      <c r="D25" s="292"/>
      <c r="E25" s="292"/>
      <c r="F25" s="293"/>
      <c r="G25" s="294"/>
      <c r="H25" s="295"/>
      <c r="I25" s="295"/>
      <c r="J25" s="295"/>
      <c r="K25" s="295"/>
      <c r="L25" s="295"/>
      <c r="M25" s="296"/>
      <c r="N25" s="297"/>
      <c r="O25" s="298"/>
      <c r="P25" s="298"/>
      <c r="Q25" s="298"/>
      <c r="R25" s="298"/>
      <c r="S25" s="298"/>
      <c r="T25" s="298"/>
      <c r="U25" s="299"/>
      <c r="V25" s="300"/>
      <c r="W25" s="300"/>
      <c r="X25" s="300"/>
      <c r="Y25" s="300"/>
      <c r="Z25" s="300"/>
      <c r="AA25" s="300"/>
      <c r="AB25" s="300"/>
      <c r="AC25" s="300"/>
      <c r="AD25" s="300"/>
      <c r="AE25" s="300"/>
      <c r="AF25" s="300"/>
      <c r="AG25" s="300"/>
      <c r="AH25" s="300"/>
      <c r="AI25" s="300"/>
      <c r="AJ25" s="294"/>
      <c r="AK25" s="295"/>
      <c r="AL25" s="295"/>
      <c r="AM25" s="295"/>
      <c r="AN25" s="295"/>
      <c r="AO25" s="296"/>
      <c r="AP25" s="301"/>
      <c r="AQ25" s="302"/>
      <c r="AR25" s="302"/>
      <c r="AS25" s="302"/>
      <c r="AT25" s="303"/>
      <c r="AU25" s="342"/>
      <c r="AV25" s="343"/>
      <c r="AW25" s="343"/>
      <c r="AX25" s="343"/>
      <c r="AY25" s="343"/>
      <c r="AZ25" s="343"/>
      <c r="BA25" s="343"/>
      <c r="BB25" s="343"/>
      <c r="BC25" s="344"/>
      <c r="BD25" s="167"/>
      <c r="BF25" s="169">
        <v>6</v>
      </c>
      <c r="BG25" s="170">
        <f t="shared" si="4"/>
        <v>0</v>
      </c>
      <c r="BH25" s="170">
        <f t="shared" si="5"/>
        <v>0</v>
      </c>
      <c r="BI25" s="170">
        <f t="shared" si="6"/>
        <v>0</v>
      </c>
      <c r="BJ25" s="170">
        <f t="shared" si="7"/>
        <v>0</v>
      </c>
      <c r="BK25" s="171">
        <f t="shared" si="0"/>
        <v>0</v>
      </c>
      <c r="BL25" s="171">
        <f t="shared" si="1"/>
        <v>0</v>
      </c>
      <c r="BM25" s="171">
        <f t="shared" si="8"/>
        <v>0</v>
      </c>
      <c r="BN25" s="171">
        <f t="shared" si="9"/>
        <v>0</v>
      </c>
      <c r="BO25" s="172">
        <f t="shared" si="2"/>
        <v>0</v>
      </c>
      <c r="BP25" s="172">
        <f t="shared" si="21"/>
        <v>0</v>
      </c>
      <c r="BQ25" s="172">
        <f t="shared" si="10"/>
        <v>0</v>
      </c>
      <c r="BR25" s="172">
        <f t="shared" si="3"/>
        <v>0</v>
      </c>
      <c r="BS25" s="172">
        <f t="shared" si="11"/>
        <v>0</v>
      </c>
      <c r="BT25" s="172" t="str">
        <f t="shared" si="12"/>
        <v/>
      </c>
      <c r="BU25" s="172" t="str">
        <f t="shared" si="13"/>
        <v/>
      </c>
      <c r="BV25" s="172" t="str">
        <f t="shared" si="14"/>
        <v/>
      </c>
      <c r="BW25" s="172" t="str">
        <f t="shared" si="15"/>
        <v/>
      </c>
      <c r="BX25" s="172" t="str">
        <f t="shared" si="16"/>
        <v/>
      </c>
      <c r="BY25" s="172" t="str">
        <f t="shared" si="17"/>
        <v/>
      </c>
      <c r="BZ25" s="172" t="str">
        <f t="shared" si="22"/>
        <v/>
      </c>
      <c r="CA25" s="172" t="str">
        <f t="shared" si="18"/>
        <v/>
      </c>
      <c r="CB25" s="172" t="str">
        <f t="shared" si="19"/>
        <v/>
      </c>
      <c r="CC25" s="172" t="str">
        <f t="shared" si="20"/>
        <v/>
      </c>
      <c r="CD25" s="172" t="str">
        <f t="shared" si="23"/>
        <v/>
      </c>
      <c r="CE25" s="172" t="str">
        <f t="shared" si="24"/>
        <v/>
      </c>
      <c r="CF25" s="172" t="str">
        <f t="shared" si="25"/>
        <v/>
      </c>
      <c r="CG25" s="172" t="str">
        <f t="shared" si="26"/>
        <v/>
      </c>
      <c r="CK25" s="143"/>
      <c r="CL25" s="143"/>
    </row>
    <row r="26" spans="2:92" ht="24.75" customHeight="1">
      <c r="B26" s="291" t="s">
        <v>213</v>
      </c>
      <c r="C26" s="292"/>
      <c r="D26" s="292"/>
      <c r="E26" s="292"/>
      <c r="F26" s="293"/>
      <c r="G26" s="294"/>
      <c r="H26" s="295"/>
      <c r="I26" s="295"/>
      <c r="J26" s="295"/>
      <c r="K26" s="295"/>
      <c r="L26" s="295"/>
      <c r="M26" s="296"/>
      <c r="N26" s="297"/>
      <c r="O26" s="298"/>
      <c r="P26" s="298"/>
      <c r="Q26" s="298"/>
      <c r="R26" s="298"/>
      <c r="S26" s="298"/>
      <c r="T26" s="298"/>
      <c r="U26" s="299"/>
      <c r="V26" s="300"/>
      <c r="W26" s="300"/>
      <c r="X26" s="300"/>
      <c r="Y26" s="300"/>
      <c r="Z26" s="300"/>
      <c r="AA26" s="300"/>
      <c r="AB26" s="300"/>
      <c r="AC26" s="300"/>
      <c r="AD26" s="300"/>
      <c r="AE26" s="300"/>
      <c r="AF26" s="300"/>
      <c r="AG26" s="300"/>
      <c r="AH26" s="300"/>
      <c r="AI26" s="300"/>
      <c r="AJ26" s="294"/>
      <c r="AK26" s="295"/>
      <c r="AL26" s="295"/>
      <c r="AM26" s="295"/>
      <c r="AN26" s="295"/>
      <c r="AO26" s="296"/>
      <c r="AP26" s="301"/>
      <c r="AQ26" s="302"/>
      <c r="AR26" s="302"/>
      <c r="AS26" s="302"/>
      <c r="AT26" s="303"/>
      <c r="AU26" s="342"/>
      <c r="AV26" s="343"/>
      <c r="AW26" s="343"/>
      <c r="AX26" s="343"/>
      <c r="AY26" s="343"/>
      <c r="AZ26" s="343"/>
      <c r="BA26" s="343"/>
      <c r="BB26" s="343"/>
      <c r="BC26" s="344"/>
      <c r="BD26" s="167"/>
      <c r="BF26" s="169">
        <v>7</v>
      </c>
      <c r="BG26" s="170">
        <f t="shared" si="4"/>
        <v>0</v>
      </c>
      <c r="BH26" s="170">
        <f t="shared" si="5"/>
        <v>0</v>
      </c>
      <c r="BI26" s="170">
        <f t="shared" si="6"/>
        <v>0</v>
      </c>
      <c r="BJ26" s="170">
        <f t="shared" si="7"/>
        <v>0</v>
      </c>
      <c r="BK26" s="171">
        <f t="shared" si="0"/>
        <v>0</v>
      </c>
      <c r="BL26" s="171">
        <f t="shared" si="1"/>
        <v>0</v>
      </c>
      <c r="BM26" s="171">
        <f t="shared" si="8"/>
        <v>0</v>
      </c>
      <c r="BN26" s="171">
        <f t="shared" si="9"/>
        <v>0</v>
      </c>
      <c r="BO26" s="172">
        <f t="shared" si="2"/>
        <v>0</v>
      </c>
      <c r="BP26" s="172">
        <f t="shared" si="21"/>
        <v>0</v>
      </c>
      <c r="BQ26" s="172">
        <f t="shared" si="10"/>
        <v>0</v>
      </c>
      <c r="BR26" s="172">
        <f t="shared" si="3"/>
        <v>0</v>
      </c>
      <c r="BS26" s="172">
        <f t="shared" si="11"/>
        <v>0</v>
      </c>
      <c r="BT26" s="172" t="str">
        <f t="shared" si="12"/>
        <v/>
      </c>
      <c r="BU26" s="172" t="str">
        <f t="shared" si="13"/>
        <v/>
      </c>
      <c r="BV26" s="172" t="str">
        <f t="shared" si="14"/>
        <v/>
      </c>
      <c r="BW26" s="172" t="str">
        <f t="shared" si="15"/>
        <v/>
      </c>
      <c r="BX26" s="172" t="str">
        <f t="shared" si="16"/>
        <v/>
      </c>
      <c r="BY26" s="172" t="str">
        <f t="shared" si="17"/>
        <v/>
      </c>
      <c r="BZ26" s="172" t="str">
        <f t="shared" si="22"/>
        <v/>
      </c>
      <c r="CA26" s="172" t="str">
        <f t="shared" si="18"/>
        <v/>
      </c>
      <c r="CB26" s="172" t="str">
        <f t="shared" si="19"/>
        <v/>
      </c>
      <c r="CC26" s="172" t="str">
        <f t="shared" si="20"/>
        <v/>
      </c>
      <c r="CD26" s="172" t="str">
        <f t="shared" si="23"/>
        <v/>
      </c>
      <c r="CE26" s="172" t="str">
        <f t="shared" si="24"/>
        <v/>
      </c>
      <c r="CF26" s="172" t="str">
        <f t="shared" si="25"/>
        <v/>
      </c>
      <c r="CG26" s="172" t="str">
        <f t="shared" si="26"/>
        <v/>
      </c>
      <c r="CK26" s="143"/>
      <c r="CL26" s="143"/>
    </row>
    <row r="27" spans="2:92" ht="24.75" customHeight="1">
      <c r="B27" s="291" t="s">
        <v>214</v>
      </c>
      <c r="C27" s="292"/>
      <c r="D27" s="292"/>
      <c r="E27" s="292"/>
      <c r="F27" s="293"/>
      <c r="G27" s="294"/>
      <c r="H27" s="295"/>
      <c r="I27" s="295"/>
      <c r="J27" s="295"/>
      <c r="K27" s="295"/>
      <c r="L27" s="295"/>
      <c r="M27" s="296"/>
      <c r="N27" s="297"/>
      <c r="O27" s="298"/>
      <c r="P27" s="298"/>
      <c r="Q27" s="298"/>
      <c r="R27" s="298"/>
      <c r="S27" s="298"/>
      <c r="T27" s="298"/>
      <c r="U27" s="299"/>
      <c r="V27" s="300"/>
      <c r="W27" s="300"/>
      <c r="X27" s="300"/>
      <c r="Y27" s="300"/>
      <c r="Z27" s="300"/>
      <c r="AA27" s="300"/>
      <c r="AB27" s="300"/>
      <c r="AC27" s="300"/>
      <c r="AD27" s="300"/>
      <c r="AE27" s="300"/>
      <c r="AF27" s="300"/>
      <c r="AG27" s="300"/>
      <c r="AH27" s="300"/>
      <c r="AI27" s="300"/>
      <c r="AJ27" s="294"/>
      <c r="AK27" s="295"/>
      <c r="AL27" s="295"/>
      <c r="AM27" s="295"/>
      <c r="AN27" s="295"/>
      <c r="AO27" s="296"/>
      <c r="AP27" s="301"/>
      <c r="AQ27" s="302"/>
      <c r="AR27" s="302"/>
      <c r="AS27" s="302"/>
      <c r="AT27" s="303"/>
      <c r="AU27" s="342"/>
      <c r="AV27" s="343"/>
      <c r="AW27" s="343"/>
      <c r="AX27" s="343"/>
      <c r="AY27" s="343"/>
      <c r="AZ27" s="343"/>
      <c r="BA27" s="343"/>
      <c r="BB27" s="343"/>
      <c r="BC27" s="344"/>
      <c r="BD27" s="167"/>
      <c r="BF27" s="169">
        <v>8</v>
      </c>
      <c r="BG27" s="170">
        <f t="shared" si="4"/>
        <v>0</v>
      </c>
      <c r="BH27" s="170">
        <f t="shared" si="5"/>
        <v>0</v>
      </c>
      <c r="BI27" s="170">
        <f t="shared" si="6"/>
        <v>0</v>
      </c>
      <c r="BJ27" s="170">
        <f t="shared" si="7"/>
        <v>0</v>
      </c>
      <c r="BK27" s="171">
        <f t="shared" si="0"/>
        <v>0</v>
      </c>
      <c r="BL27" s="171">
        <f t="shared" si="1"/>
        <v>0</v>
      </c>
      <c r="BM27" s="171">
        <f t="shared" si="8"/>
        <v>0</v>
      </c>
      <c r="BN27" s="171">
        <f t="shared" si="9"/>
        <v>0</v>
      </c>
      <c r="BO27" s="172">
        <f t="shared" si="2"/>
        <v>0</v>
      </c>
      <c r="BP27" s="172">
        <f t="shared" si="21"/>
        <v>0</v>
      </c>
      <c r="BQ27" s="172">
        <f t="shared" si="10"/>
        <v>0</v>
      </c>
      <c r="BR27" s="172">
        <f t="shared" si="3"/>
        <v>0</v>
      </c>
      <c r="BS27" s="172">
        <f t="shared" si="11"/>
        <v>0</v>
      </c>
      <c r="BT27" s="172" t="str">
        <f t="shared" si="12"/>
        <v/>
      </c>
      <c r="BU27" s="172" t="str">
        <f t="shared" si="13"/>
        <v/>
      </c>
      <c r="BV27" s="172" t="str">
        <f t="shared" si="14"/>
        <v/>
      </c>
      <c r="BW27" s="172" t="str">
        <f t="shared" si="15"/>
        <v/>
      </c>
      <c r="BX27" s="172" t="str">
        <f t="shared" si="16"/>
        <v/>
      </c>
      <c r="BY27" s="172" t="str">
        <f t="shared" si="17"/>
        <v/>
      </c>
      <c r="BZ27" s="172" t="str">
        <f t="shared" si="22"/>
        <v/>
      </c>
      <c r="CA27" s="172" t="str">
        <f t="shared" si="18"/>
        <v/>
      </c>
      <c r="CB27" s="172" t="str">
        <f t="shared" si="19"/>
        <v/>
      </c>
      <c r="CC27" s="172" t="str">
        <f t="shared" si="20"/>
        <v/>
      </c>
      <c r="CD27" s="172" t="str">
        <f>IF($G27="","",IF(OR($G27="未就学児",$G27="6歳～17歳"),"",$CA$6))</f>
        <v/>
      </c>
      <c r="CE27" s="172" t="str">
        <f t="shared" si="24"/>
        <v/>
      </c>
      <c r="CF27" s="172" t="str">
        <f t="shared" si="25"/>
        <v/>
      </c>
      <c r="CG27" s="172" t="str">
        <f t="shared" si="26"/>
        <v/>
      </c>
      <c r="CK27" s="143"/>
      <c r="CL27" s="143"/>
    </row>
    <row r="28" spans="2:92" ht="24.75" customHeight="1">
      <c r="B28" s="368" t="s">
        <v>215</v>
      </c>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c r="AK28" s="368"/>
      <c r="AL28" s="368"/>
      <c r="AM28" s="368"/>
      <c r="AN28" s="368"/>
      <c r="AO28" s="368"/>
      <c r="AP28" s="285"/>
      <c r="AQ28" s="285"/>
      <c r="AR28" s="285"/>
      <c r="AS28" s="285"/>
      <c r="AT28" s="285"/>
      <c r="AU28" s="368"/>
      <c r="AV28" s="368"/>
      <c r="AW28" s="368"/>
      <c r="AX28" s="368"/>
      <c r="AY28" s="368"/>
      <c r="AZ28" s="368"/>
      <c r="BA28" s="368"/>
      <c r="BB28" s="368"/>
      <c r="BC28" s="368"/>
      <c r="BD28" s="167"/>
      <c r="BF28" s="173"/>
      <c r="BG28" s="174"/>
      <c r="BH28" s="174"/>
      <c r="BI28" s="174"/>
      <c r="BJ28" s="174"/>
      <c r="CC28" s="143"/>
      <c r="CD28" s="143"/>
      <c r="CE28" s="144"/>
      <c r="CF28" s="143"/>
      <c r="CG28" s="144"/>
      <c r="CK28" s="143"/>
      <c r="CL28" s="143"/>
    </row>
    <row r="29" spans="2:92" ht="24.75" customHeight="1">
      <c r="B29" s="286" t="s">
        <v>206</v>
      </c>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1"/>
      <c r="AL29" s="371"/>
      <c r="AM29" s="371"/>
      <c r="AN29" s="371"/>
      <c r="AO29" s="371"/>
      <c r="AP29" s="371"/>
      <c r="AQ29" s="371"/>
      <c r="AR29" s="371"/>
      <c r="AS29" s="371"/>
      <c r="AT29" s="371"/>
      <c r="AU29" s="371"/>
      <c r="AV29" s="371"/>
      <c r="AW29" s="371"/>
      <c r="AX29" s="371"/>
      <c r="AY29" s="371"/>
      <c r="AZ29" s="371"/>
      <c r="BA29" s="371"/>
      <c r="BB29" s="371"/>
      <c r="BC29" s="371"/>
      <c r="BD29" s="167"/>
      <c r="BF29" s="173"/>
      <c r="BG29" s="174"/>
      <c r="BH29" s="174"/>
      <c r="BI29" s="174"/>
      <c r="BJ29" s="174"/>
      <c r="BM29" s="369" t="s">
        <v>69</v>
      </c>
      <c r="BN29" s="369" t="s">
        <v>68</v>
      </c>
      <c r="BO29" s="155"/>
      <c r="BS29" s="369" t="s">
        <v>67</v>
      </c>
      <c r="BT29" s="370" t="s">
        <v>66</v>
      </c>
      <c r="BU29" s="281" t="s">
        <v>65</v>
      </c>
      <c r="BV29" s="281" t="s">
        <v>238</v>
      </c>
      <c r="BW29" s="281" t="s">
        <v>64</v>
      </c>
      <c r="BX29" s="281" t="s">
        <v>63</v>
      </c>
      <c r="BY29" s="281" t="s">
        <v>239</v>
      </c>
      <c r="BZ29" s="281" t="s">
        <v>62</v>
      </c>
      <c r="CA29" s="281" t="s">
        <v>61</v>
      </c>
      <c r="CB29" s="281" t="s">
        <v>240</v>
      </c>
      <c r="CC29" s="281" t="s">
        <v>248</v>
      </c>
      <c r="CD29" s="281" t="s">
        <v>249</v>
      </c>
      <c r="CE29" s="281" t="s">
        <v>250</v>
      </c>
      <c r="CF29" s="281" t="s">
        <v>249</v>
      </c>
      <c r="CG29" s="281" t="s">
        <v>250</v>
      </c>
      <c r="CH29" s="144"/>
      <c r="CI29" s="146"/>
    </row>
    <row r="30" spans="2:92" ht="24.75" customHeight="1">
      <c r="B30" s="175"/>
      <c r="C30" s="176"/>
      <c r="D30" s="176" t="s">
        <v>224</v>
      </c>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67"/>
      <c r="BF30" s="173"/>
      <c r="BG30" s="174"/>
      <c r="BH30" s="174"/>
      <c r="BI30" s="174"/>
      <c r="BJ30" s="174"/>
      <c r="BM30" s="369"/>
      <c r="BN30" s="369"/>
      <c r="BS30" s="369"/>
      <c r="BT30" s="370"/>
      <c r="BU30" s="282"/>
      <c r="BV30" s="282"/>
      <c r="BW30" s="282"/>
      <c r="BX30" s="282"/>
      <c r="BY30" s="282"/>
      <c r="BZ30" s="282"/>
      <c r="CA30" s="282"/>
      <c r="CB30" s="282"/>
      <c r="CC30" s="282"/>
      <c r="CD30" s="282"/>
      <c r="CE30" s="282"/>
      <c r="CF30" s="282"/>
      <c r="CG30" s="282"/>
      <c r="CH30" s="144"/>
      <c r="CI30" s="146"/>
    </row>
    <row r="31" spans="2:92" ht="24.75" customHeight="1">
      <c r="B31" s="285" t="s">
        <v>216</v>
      </c>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5"/>
      <c r="BA31" s="285"/>
      <c r="BB31" s="285"/>
      <c r="BC31" s="285"/>
      <c r="BD31" s="167"/>
      <c r="BF31" s="173"/>
      <c r="BG31" s="174"/>
      <c r="BH31" s="174"/>
      <c r="BI31" s="174"/>
      <c r="BJ31" s="174"/>
      <c r="BM31" s="177">
        <f>IF(SUM(BM20:BM27)=0,1,SUM(BM20:BM27))</f>
        <v>1</v>
      </c>
      <c r="BN31" s="177">
        <f>SUM(BN20:BN27)</f>
        <v>0</v>
      </c>
      <c r="BS31" s="172">
        <f t="shared" ref="BS31:CB31" si="27">SUM(BS20:BS27)</f>
        <v>0</v>
      </c>
      <c r="BT31" s="172">
        <f t="shared" si="27"/>
        <v>0</v>
      </c>
      <c r="BU31" s="172">
        <f t="shared" si="27"/>
        <v>0</v>
      </c>
      <c r="BV31" s="172">
        <f t="shared" si="27"/>
        <v>0</v>
      </c>
      <c r="BW31" s="172">
        <f t="shared" si="27"/>
        <v>0</v>
      </c>
      <c r="BX31" s="172">
        <f>SUM(BX20:BX27)</f>
        <v>0</v>
      </c>
      <c r="BY31" s="172">
        <f t="shared" si="27"/>
        <v>0</v>
      </c>
      <c r="BZ31" s="172">
        <f t="shared" si="27"/>
        <v>0</v>
      </c>
      <c r="CA31" s="172">
        <f t="shared" si="27"/>
        <v>0</v>
      </c>
      <c r="CB31" s="172">
        <f t="shared" si="27"/>
        <v>0</v>
      </c>
      <c r="CC31" s="172">
        <f>SUM(CC20:CC27)</f>
        <v>0</v>
      </c>
      <c r="CD31" s="172">
        <f>SUM(CD20:CD27)</f>
        <v>0</v>
      </c>
      <c r="CE31" s="172">
        <f>SUM(CE20:CE27)</f>
        <v>0</v>
      </c>
      <c r="CF31" s="172">
        <f>SUM(CF20:CF27)</f>
        <v>0</v>
      </c>
      <c r="CG31" s="172">
        <f>SUM(CG20:CG27)</f>
        <v>0</v>
      </c>
      <c r="CH31" s="144"/>
      <c r="CI31" s="146"/>
      <c r="CJ31" s="146"/>
      <c r="CK31" s="146"/>
      <c r="CL31" s="146"/>
      <c r="CM31" s="146"/>
      <c r="CN31" s="146"/>
    </row>
    <row r="32" spans="2:92" ht="24.75" customHeight="1">
      <c r="B32" s="286" t="s">
        <v>53</v>
      </c>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6"/>
      <c r="BC32" s="286"/>
      <c r="BF32" s="173"/>
      <c r="BG32" s="174"/>
      <c r="BH32" s="174"/>
      <c r="BI32" s="174"/>
      <c r="BJ32" s="174"/>
      <c r="CH32" s="146"/>
      <c r="CI32" s="146"/>
      <c r="CJ32" s="146"/>
      <c r="CK32" s="146"/>
      <c r="CL32" s="146"/>
      <c r="CM32" s="146"/>
      <c r="CN32" s="146"/>
    </row>
    <row r="33" spans="1:92" ht="24.75" customHeight="1">
      <c r="B33" s="175"/>
      <c r="C33" s="175"/>
      <c r="D33" s="287" t="s">
        <v>49</v>
      </c>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287"/>
      <c r="AP33" s="287"/>
      <c r="AQ33" s="287"/>
      <c r="AR33" s="287"/>
      <c r="AS33" s="287"/>
      <c r="AT33" s="287"/>
      <c r="AU33" s="287"/>
      <c r="AV33" s="287"/>
      <c r="AW33" s="287"/>
      <c r="AX33" s="287"/>
      <c r="AY33" s="287"/>
      <c r="AZ33" s="287"/>
      <c r="BA33" s="287"/>
      <c r="BB33" s="287"/>
      <c r="BC33" s="287"/>
      <c r="BG33" s="147" t="s">
        <v>48</v>
      </c>
      <c r="BH33" s="142"/>
      <c r="BI33" s="142"/>
      <c r="BJ33" s="142"/>
      <c r="BK33" s="142"/>
      <c r="BL33" s="142"/>
      <c r="BM33" s="142"/>
      <c r="BN33" s="142"/>
      <c r="BT33" s="178" t="s">
        <v>226</v>
      </c>
      <c r="BU33" s="178" t="s">
        <v>227</v>
      </c>
      <c r="BV33" s="178" t="s">
        <v>228</v>
      </c>
      <c r="CH33" s="146"/>
      <c r="CI33" s="146"/>
      <c r="CJ33" s="146"/>
      <c r="CK33" s="146"/>
      <c r="CL33" s="146"/>
      <c r="CM33" s="146"/>
      <c r="CN33" s="146"/>
    </row>
    <row r="34" spans="1:92" ht="24.75" customHeight="1">
      <c r="B34" s="175"/>
      <c r="C34" s="175"/>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79"/>
      <c r="BB34" s="179"/>
      <c r="BC34" s="179"/>
      <c r="BG34" s="358" t="s">
        <v>46</v>
      </c>
      <c r="BH34" s="274"/>
      <c r="BI34" s="339" t="s">
        <v>45</v>
      </c>
      <c r="BJ34" s="340"/>
      <c r="BK34" s="340"/>
      <c r="BL34" s="341"/>
      <c r="BM34" s="339" t="s">
        <v>44</v>
      </c>
      <c r="BN34" s="340"/>
      <c r="BO34" s="340"/>
      <c r="BP34" s="341"/>
      <c r="BS34" s="180" t="s">
        <v>47</v>
      </c>
      <c r="BT34" s="172">
        <f>IF(SUM(BU20:BU27)&gt;0,BT10+(100000*(BM31-1)),0)</f>
        <v>0</v>
      </c>
      <c r="BU34" s="172" t="b">
        <f>IF(SUM(BU20:BU27)&gt;0,BT10+BU10*BN31+(100000*(BM31-1)))</f>
        <v>0</v>
      </c>
      <c r="BV34" s="172" t="b">
        <f>IF(SUM(BU20:BU27)&gt;0,BT10+BV10*BN31+(100000*(BM31-1)))</f>
        <v>0</v>
      </c>
      <c r="CD34" s="142"/>
      <c r="CE34" s="164"/>
      <c r="CF34" s="142"/>
      <c r="CH34" s="168"/>
      <c r="CI34" s="168"/>
      <c r="CJ34" s="168"/>
      <c r="CK34" s="168"/>
      <c r="CL34" s="168"/>
      <c r="CM34" s="168"/>
      <c r="CN34" s="168"/>
    </row>
    <row r="35" spans="1:92" ht="24.75" customHeight="1">
      <c r="A35" s="147" t="s">
        <v>42</v>
      </c>
      <c r="B35" s="147"/>
      <c r="C35" s="181"/>
      <c r="D35" s="181"/>
      <c r="E35" s="181"/>
      <c r="F35" s="181"/>
      <c r="G35" s="182"/>
      <c r="H35" s="182"/>
      <c r="I35" s="182"/>
      <c r="J35" s="182"/>
      <c r="K35" s="182"/>
      <c r="L35" s="182"/>
      <c r="M35" s="182"/>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73"/>
      <c r="AK35" s="173"/>
      <c r="AL35" s="173"/>
      <c r="AM35" s="173"/>
      <c r="AN35" s="173"/>
      <c r="AO35" s="173"/>
      <c r="AP35" s="173"/>
      <c r="AQ35" s="173"/>
      <c r="AR35" s="173"/>
      <c r="AS35" s="173"/>
      <c r="AT35" s="173"/>
      <c r="AU35" s="173"/>
      <c r="AV35" s="173"/>
      <c r="AW35" s="173"/>
      <c r="AX35" s="173"/>
      <c r="AY35" s="173"/>
      <c r="AZ35" s="173"/>
      <c r="BA35" s="173"/>
      <c r="BB35" s="173"/>
      <c r="BC35" s="173"/>
      <c r="BD35" s="184"/>
      <c r="BG35" s="359"/>
      <c r="BH35" s="277"/>
      <c r="BI35" s="253" t="s">
        <v>41</v>
      </c>
      <c r="BJ35" s="254" t="s">
        <v>40</v>
      </c>
      <c r="BK35" s="254" t="s">
        <v>39</v>
      </c>
      <c r="BL35" s="256" t="s">
        <v>244</v>
      </c>
      <c r="BM35" s="253" t="s">
        <v>41</v>
      </c>
      <c r="BN35" s="254" t="s">
        <v>40</v>
      </c>
      <c r="BO35" s="254" t="s">
        <v>39</v>
      </c>
      <c r="BP35" s="256" t="s">
        <v>244</v>
      </c>
      <c r="BS35" s="185" t="s">
        <v>43</v>
      </c>
      <c r="BT35" s="171" t="str">
        <f>IF(BN31&gt;0,IF(BS31&lt;=BT34,"７割軽減",IF(BS31&lt;=BU34,"５割軽減",IF(BS31&lt;=BV34,"２割軽減","軽減非該当"))),"")</f>
        <v/>
      </c>
      <c r="CD35" s="146"/>
      <c r="CE35" s="162"/>
      <c r="CF35" s="146"/>
      <c r="CH35" s="146"/>
      <c r="CI35" s="146"/>
      <c r="CJ35" s="146"/>
      <c r="CK35" s="146"/>
      <c r="CL35" s="146"/>
      <c r="CM35" s="146"/>
      <c r="CN35" s="146"/>
    </row>
    <row r="36" spans="1:92" ht="24.75" customHeight="1">
      <c r="B36" s="181" t="s">
        <v>35</v>
      </c>
      <c r="C36" s="181"/>
      <c r="G36" s="186"/>
      <c r="H36" s="160"/>
      <c r="I36" s="160"/>
      <c r="BD36" s="184"/>
      <c r="BF36" s="184"/>
      <c r="BG36" s="283" t="s">
        <v>34</v>
      </c>
      <c r="BH36" s="284"/>
      <c r="BI36" s="257">
        <f>IF($C$13="","",SUM(BT20:BT27))</f>
        <v>0</v>
      </c>
      <c r="BJ36" s="258">
        <f>IF($C$13="","",SUM(BW20:BW27))</f>
        <v>0</v>
      </c>
      <c r="BK36" s="258">
        <f>IF($C$13="","",SUM(BZ20:BZ27))</f>
        <v>0</v>
      </c>
      <c r="BL36" s="259">
        <f>IF($C$13="","",SUM(CC20:CC27))</f>
        <v>0</v>
      </c>
      <c r="BM36" s="257">
        <f>IF($C$13="","",SUM(BT20:BT27))</f>
        <v>0</v>
      </c>
      <c r="BN36" s="258">
        <f>IF($C$13="","",SUM(BW20:BW27))</f>
        <v>0</v>
      </c>
      <c r="BO36" s="258">
        <f>IF($C$13="","",SUM(BZ20:BZ27))</f>
        <v>0</v>
      </c>
      <c r="BP36" s="259">
        <f>IF($C$13="","",SUM(CC20:CC27))</f>
        <v>0</v>
      </c>
      <c r="BS36" s="185" t="s">
        <v>38</v>
      </c>
      <c r="BT36" s="187">
        <f>IF(BT35="７割軽減",30%,IF(BT35="５割軽減",50%,IF(BT35="２割軽減",80%,100%)))</f>
        <v>1</v>
      </c>
      <c r="BU36" s="158"/>
      <c r="CD36" s="146"/>
      <c r="CE36" s="162"/>
      <c r="CF36" s="146"/>
      <c r="CH36" s="146"/>
      <c r="CI36" s="146"/>
      <c r="CJ36" s="146"/>
      <c r="CK36" s="146"/>
      <c r="CL36" s="146"/>
      <c r="CM36" s="146"/>
      <c r="CN36" s="146"/>
    </row>
    <row r="37" spans="1:92" ht="24.75" customHeight="1">
      <c r="B37" s="366" t="s">
        <v>219</v>
      </c>
      <c r="C37" s="367"/>
      <c r="D37" s="367"/>
      <c r="E37" s="367"/>
      <c r="F37" s="367"/>
      <c r="G37" s="367"/>
      <c r="H37" s="367"/>
      <c r="I37" s="367"/>
      <c r="J37" s="367"/>
      <c r="K37" s="367"/>
      <c r="L37" s="272" t="s">
        <v>217</v>
      </c>
      <c r="M37" s="273"/>
      <c r="N37" s="273"/>
      <c r="O37" s="273"/>
      <c r="P37" s="273"/>
      <c r="Q37" s="273"/>
      <c r="R37" s="273"/>
      <c r="S37" s="273"/>
      <c r="T37" s="350"/>
      <c r="U37" s="272" t="s">
        <v>218</v>
      </c>
      <c r="V37" s="273"/>
      <c r="W37" s="273"/>
      <c r="X37" s="273"/>
      <c r="Y37" s="273"/>
      <c r="Z37" s="273"/>
      <c r="AA37" s="273"/>
      <c r="AB37" s="273"/>
      <c r="AC37" s="350"/>
      <c r="AD37" s="272" t="s">
        <v>21</v>
      </c>
      <c r="AE37" s="273"/>
      <c r="AF37" s="273"/>
      <c r="AG37" s="273"/>
      <c r="AH37" s="273"/>
      <c r="AI37" s="273"/>
      <c r="AJ37" s="273"/>
      <c r="AK37" s="273"/>
      <c r="AL37" s="273"/>
      <c r="AM37" s="272" t="s">
        <v>253</v>
      </c>
      <c r="AN37" s="273"/>
      <c r="AO37" s="273"/>
      <c r="AP37" s="273"/>
      <c r="AQ37" s="273"/>
      <c r="AR37" s="273"/>
      <c r="AS37" s="273"/>
      <c r="AT37" s="273"/>
      <c r="AU37" s="274"/>
      <c r="AV37" s="184"/>
      <c r="AY37" s="143"/>
      <c r="BA37" s="144"/>
      <c r="BB37" s="144"/>
      <c r="BC37" s="144"/>
      <c r="BD37" s="144"/>
      <c r="BF37" s="184"/>
      <c r="BG37" s="283" t="s">
        <v>20</v>
      </c>
      <c r="BH37" s="284"/>
      <c r="BI37" s="257">
        <f>IF($C$13="","",BV31)</f>
        <v>0</v>
      </c>
      <c r="BJ37" s="258">
        <f>IF($C$13="","",BY31)</f>
        <v>0</v>
      </c>
      <c r="BK37" s="258">
        <f>IF($C$13="","",CB31)</f>
        <v>0</v>
      </c>
      <c r="BL37" s="259">
        <f>IF($C$13="","",CE31+CG31)</f>
        <v>0</v>
      </c>
      <c r="BM37" s="257">
        <f>IF($C$13="","",BU31)</f>
        <v>0</v>
      </c>
      <c r="BN37" s="258">
        <f>IF($C$13="","",BX31)</f>
        <v>0</v>
      </c>
      <c r="BO37" s="258">
        <f>IF($C$13="","",CA31)</f>
        <v>0</v>
      </c>
      <c r="BP37" s="259">
        <f>IF($C$13="","",CD31+CF31)</f>
        <v>0</v>
      </c>
      <c r="CD37" s="146"/>
      <c r="CE37" s="162"/>
      <c r="CF37" s="146"/>
      <c r="CH37" s="146"/>
      <c r="CI37" s="146"/>
      <c r="CJ37" s="146"/>
      <c r="CK37" s="146"/>
      <c r="CL37" s="146"/>
      <c r="CM37" s="146"/>
      <c r="CN37" s="146"/>
    </row>
    <row r="38" spans="1:92" ht="24.75" customHeight="1">
      <c r="B38" s="366"/>
      <c r="C38" s="367"/>
      <c r="D38" s="367"/>
      <c r="E38" s="367"/>
      <c r="F38" s="367"/>
      <c r="G38" s="367"/>
      <c r="H38" s="367"/>
      <c r="I38" s="367"/>
      <c r="J38" s="367"/>
      <c r="K38" s="367"/>
      <c r="L38" s="275"/>
      <c r="M38" s="276"/>
      <c r="N38" s="276"/>
      <c r="O38" s="276"/>
      <c r="P38" s="276"/>
      <c r="Q38" s="276"/>
      <c r="R38" s="276"/>
      <c r="S38" s="276"/>
      <c r="T38" s="351"/>
      <c r="U38" s="275"/>
      <c r="V38" s="276"/>
      <c r="W38" s="276"/>
      <c r="X38" s="276"/>
      <c r="Y38" s="276"/>
      <c r="Z38" s="276"/>
      <c r="AA38" s="276"/>
      <c r="AB38" s="276"/>
      <c r="AC38" s="351"/>
      <c r="AD38" s="352" t="s">
        <v>220</v>
      </c>
      <c r="AE38" s="353"/>
      <c r="AF38" s="353"/>
      <c r="AG38" s="353"/>
      <c r="AH38" s="353"/>
      <c r="AI38" s="353"/>
      <c r="AJ38" s="353"/>
      <c r="AK38" s="353"/>
      <c r="AL38" s="353"/>
      <c r="AM38" s="275"/>
      <c r="AN38" s="276"/>
      <c r="AO38" s="276"/>
      <c r="AP38" s="276"/>
      <c r="AQ38" s="276"/>
      <c r="AR38" s="276"/>
      <c r="AS38" s="276"/>
      <c r="AT38" s="276"/>
      <c r="AU38" s="277"/>
      <c r="AV38" s="184"/>
      <c r="AW38" s="184"/>
      <c r="AY38" s="143"/>
      <c r="BA38" s="144"/>
      <c r="BB38" s="144"/>
      <c r="BC38" s="144"/>
      <c r="BD38" s="144"/>
      <c r="BG38" s="283" t="s">
        <v>17</v>
      </c>
      <c r="BH38" s="284"/>
      <c r="BI38" s="257">
        <f>IF($C$13="","",TRUNC(BI36+BI37,-2))</f>
        <v>0</v>
      </c>
      <c r="BJ38" s="258">
        <f>IF($C$13="","",TRUNC(BJ36+BJ37,-2))</f>
        <v>0</v>
      </c>
      <c r="BK38" s="258">
        <f t="shared" ref="BK38" si="28">IF($C$13="","",TRUNC(BK36+BK37,-2))</f>
        <v>0</v>
      </c>
      <c r="BL38" s="259">
        <f t="shared" ref="BL38" si="29">IF($C$13="","",TRUNC(BL36+BL37,-2))</f>
        <v>0</v>
      </c>
      <c r="BM38" s="257">
        <f>IF($C$13="","",TRUNC(BM36+BM37,-2))</f>
        <v>0</v>
      </c>
      <c r="BN38" s="258">
        <f>IF($C$13="","",TRUNC(BN36+BN37,-2))</f>
        <v>0</v>
      </c>
      <c r="BO38" s="258">
        <f>IF($C$13="","",TRUNC(BO36+BO37,-2))</f>
        <v>0</v>
      </c>
      <c r="BP38" s="259">
        <f t="shared" ref="BP38" si="30">IF($C$13="","",TRUNC(BP36+BP37,-2))</f>
        <v>0</v>
      </c>
      <c r="BV38" s="145"/>
      <c r="BX38" s="146"/>
      <c r="BY38" s="142"/>
      <c r="BZ38" s="142"/>
      <c r="CA38" s="142"/>
      <c r="CB38" s="142"/>
      <c r="CC38" s="142"/>
      <c r="CD38" s="142"/>
      <c r="CE38" s="142"/>
    </row>
    <row r="39" spans="1:92" ht="24.75" customHeight="1">
      <c r="B39" s="288" t="s">
        <v>34</v>
      </c>
      <c r="C39" s="289"/>
      <c r="D39" s="289"/>
      <c r="E39" s="289"/>
      <c r="F39" s="289"/>
      <c r="G39" s="289"/>
      <c r="H39" s="289"/>
      <c r="I39" s="289"/>
      <c r="J39" s="289"/>
      <c r="K39" s="289"/>
      <c r="L39" s="354">
        <f>BI36</f>
        <v>0</v>
      </c>
      <c r="M39" s="355"/>
      <c r="N39" s="355"/>
      <c r="O39" s="355"/>
      <c r="P39" s="355"/>
      <c r="Q39" s="355"/>
      <c r="R39" s="355"/>
      <c r="S39" s="355"/>
      <c r="T39" s="356"/>
      <c r="U39" s="354">
        <f>BJ36</f>
        <v>0</v>
      </c>
      <c r="V39" s="355"/>
      <c r="W39" s="355"/>
      <c r="X39" s="355"/>
      <c r="Y39" s="355"/>
      <c r="Z39" s="355"/>
      <c r="AA39" s="355"/>
      <c r="AB39" s="355"/>
      <c r="AC39" s="356"/>
      <c r="AD39" s="354">
        <f>BK36</f>
        <v>0</v>
      </c>
      <c r="AE39" s="355"/>
      <c r="AF39" s="355"/>
      <c r="AG39" s="355"/>
      <c r="AH39" s="355"/>
      <c r="AI39" s="355"/>
      <c r="AJ39" s="355"/>
      <c r="AK39" s="355"/>
      <c r="AL39" s="356"/>
      <c r="AM39" s="269">
        <f>BL36</f>
        <v>0</v>
      </c>
      <c r="AN39" s="270"/>
      <c r="AO39" s="270"/>
      <c r="AP39" s="270"/>
      <c r="AQ39" s="270"/>
      <c r="AR39" s="270"/>
      <c r="AS39" s="270"/>
      <c r="AT39" s="270"/>
      <c r="AU39" s="271"/>
      <c r="AY39" s="143"/>
      <c r="BA39" s="144"/>
      <c r="BB39" s="144"/>
      <c r="BC39" s="144"/>
      <c r="BD39" s="144"/>
      <c r="BG39" s="283" t="s">
        <v>16</v>
      </c>
      <c r="BH39" s="284"/>
      <c r="BI39" s="257">
        <f>IF($C$13="","",IF(BI38&gt;$BU$7,BI38-$BU$7,0))</f>
        <v>0</v>
      </c>
      <c r="BJ39" s="258">
        <f>IF($C$13="","",IF(BJ38&gt;$BW$7,BJ38-$BW$7,0))</f>
        <v>0</v>
      </c>
      <c r="BK39" s="258">
        <f>IF($C$13="","",IF(BK38&gt;$BY$7,BK38-$BY$7,0))</f>
        <v>0</v>
      </c>
      <c r="BL39" s="259">
        <f>IF($C$13="","",IF(BL38&gt;$BY$7,BL38-$BY$7,0))</f>
        <v>0</v>
      </c>
      <c r="BM39" s="257">
        <f>IF($C$13="","",IF(BM38&gt;$BU$7,BM38-$BU$7,0))</f>
        <v>0</v>
      </c>
      <c r="BN39" s="258">
        <f>IF($C$13="","",IF(BN38&gt;$BW$7,BN38-$BW$7,0))</f>
        <v>0</v>
      </c>
      <c r="BO39" s="258">
        <f>IF($C$13="","",IF(BO38&gt;$BY$7,BO38-$BY$7,0))</f>
        <v>0</v>
      </c>
      <c r="BP39" s="259">
        <f>IF($C$13="","",IF(BP38&gt;$BY$7,BP38-$BY$7,0))</f>
        <v>0</v>
      </c>
      <c r="BU39" s="144" t="s">
        <v>229</v>
      </c>
      <c r="BV39" s="145"/>
      <c r="BX39" s="309" t="s">
        <v>36</v>
      </c>
      <c r="BY39" s="310"/>
      <c r="BZ39" s="310"/>
      <c r="CA39" s="310"/>
      <c r="CB39" s="310"/>
      <c r="CC39" s="310"/>
      <c r="CD39" s="310"/>
      <c r="CE39" s="311"/>
    </row>
    <row r="40" spans="1:92" ht="24.75" customHeight="1">
      <c r="B40" s="288" t="s">
        <v>193</v>
      </c>
      <c r="C40" s="289"/>
      <c r="D40" s="289"/>
      <c r="E40" s="289"/>
      <c r="F40" s="289"/>
      <c r="G40" s="289"/>
      <c r="H40" s="289"/>
      <c r="I40" s="289"/>
      <c r="J40" s="289"/>
      <c r="K40" s="290"/>
      <c r="L40" s="354">
        <f t="shared" ref="L40:L44" si="31">BI37</f>
        <v>0</v>
      </c>
      <c r="M40" s="355"/>
      <c r="N40" s="355"/>
      <c r="O40" s="355"/>
      <c r="P40" s="355"/>
      <c r="Q40" s="355"/>
      <c r="R40" s="355"/>
      <c r="S40" s="355"/>
      <c r="T40" s="356"/>
      <c r="U40" s="354">
        <f t="shared" ref="U40:U44" si="32">BJ37</f>
        <v>0</v>
      </c>
      <c r="V40" s="355"/>
      <c r="W40" s="355"/>
      <c r="X40" s="355"/>
      <c r="Y40" s="355"/>
      <c r="Z40" s="355"/>
      <c r="AA40" s="355"/>
      <c r="AB40" s="355"/>
      <c r="AC40" s="356"/>
      <c r="AD40" s="354">
        <f t="shared" ref="AD40:AD44" si="33">BK37</f>
        <v>0</v>
      </c>
      <c r="AE40" s="355"/>
      <c r="AF40" s="355"/>
      <c r="AG40" s="355"/>
      <c r="AH40" s="355"/>
      <c r="AI40" s="355"/>
      <c r="AJ40" s="355"/>
      <c r="AK40" s="355"/>
      <c r="AL40" s="356"/>
      <c r="AM40" s="269">
        <f t="shared" ref="AM40:AM44" si="34">BL37</f>
        <v>0</v>
      </c>
      <c r="AN40" s="270"/>
      <c r="AO40" s="270"/>
      <c r="AP40" s="270"/>
      <c r="AQ40" s="270"/>
      <c r="AR40" s="270"/>
      <c r="AS40" s="270"/>
      <c r="AT40" s="270"/>
      <c r="AU40" s="271"/>
      <c r="AY40" s="143"/>
      <c r="BA40" s="144"/>
      <c r="BB40" s="144"/>
      <c r="BC40" s="144"/>
      <c r="BD40" s="144"/>
      <c r="BG40" s="283" t="s">
        <v>14</v>
      </c>
      <c r="BH40" s="284"/>
      <c r="BI40" s="257">
        <f t="shared" ref="BI40:BK40" si="35">IF($C$13="","",BI38-BI39)</f>
        <v>0</v>
      </c>
      <c r="BJ40" s="258">
        <f t="shared" si="35"/>
        <v>0</v>
      </c>
      <c r="BK40" s="258">
        <f t="shared" si="35"/>
        <v>0</v>
      </c>
      <c r="BL40" s="259">
        <f t="shared" ref="BL40" si="36">IF($C$13="","",BL38-BL39)</f>
        <v>0</v>
      </c>
      <c r="BM40" s="257">
        <f>IF($C$13="","",BM38-BM39)</f>
        <v>0</v>
      </c>
      <c r="BN40" s="258">
        <f>IF($C$13="","",BN38-BN39)</f>
        <v>0</v>
      </c>
      <c r="BO40" s="258">
        <f>IF($C$13="","",BO38-BO39)</f>
        <v>0</v>
      </c>
      <c r="BP40" s="259">
        <f t="shared" ref="BP40" si="37">IF($C$13="","",BP38-BP39)</f>
        <v>0</v>
      </c>
      <c r="BU40" s="260" t="s">
        <v>87</v>
      </c>
      <c r="BV40" s="243" t="s">
        <v>86</v>
      </c>
      <c r="BW40" s="244"/>
      <c r="BX40" s="260" t="s">
        <v>31</v>
      </c>
      <c r="BY40" s="260" t="s">
        <v>208</v>
      </c>
      <c r="BZ40" s="260" t="s">
        <v>209</v>
      </c>
      <c r="CA40" s="260" t="s">
        <v>210</v>
      </c>
      <c r="CB40" s="260" t="s">
        <v>211</v>
      </c>
      <c r="CC40" s="260" t="s">
        <v>212</v>
      </c>
      <c r="CD40" s="260" t="s">
        <v>213</v>
      </c>
      <c r="CE40" s="260" t="s">
        <v>214</v>
      </c>
    </row>
    <row r="41" spans="1:92" ht="24.75" customHeight="1">
      <c r="B41" s="288" t="s">
        <v>194</v>
      </c>
      <c r="C41" s="289"/>
      <c r="D41" s="289"/>
      <c r="E41" s="289"/>
      <c r="F41" s="289"/>
      <c r="G41" s="289"/>
      <c r="H41" s="289"/>
      <c r="I41" s="289"/>
      <c r="J41" s="289"/>
      <c r="K41" s="290"/>
      <c r="L41" s="354">
        <f t="shared" si="31"/>
        <v>0</v>
      </c>
      <c r="M41" s="355"/>
      <c r="N41" s="355"/>
      <c r="O41" s="355"/>
      <c r="P41" s="355"/>
      <c r="Q41" s="355"/>
      <c r="R41" s="355"/>
      <c r="S41" s="355"/>
      <c r="T41" s="356"/>
      <c r="U41" s="354">
        <f t="shared" si="32"/>
        <v>0</v>
      </c>
      <c r="V41" s="355"/>
      <c r="W41" s="355"/>
      <c r="X41" s="355"/>
      <c r="Y41" s="355"/>
      <c r="Z41" s="355"/>
      <c r="AA41" s="355"/>
      <c r="AB41" s="355"/>
      <c r="AC41" s="356"/>
      <c r="AD41" s="354">
        <f t="shared" si="33"/>
        <v>0</v>
      </c>
      <c r="AE41" s="355"/>
      <c r="AF41" s="355"/>
      <c r="AG41" s="355"/>
      <c r="AH41" s="355"/>
      <c r="AI41" s="355"/>
      <c r="AJ41" s="355"/>
      <c r="AK41" s="355"/>
      <c r="AL41" s="356"/>
      <c r="AM41" s="269">
        <f t="shared" si="34"/>
        <v>0</v>
      </c>
      <c r="AN41" s="270"/>
      <c r="AO41" s="270"/>
      <c r="AP41" s="270"/>
      <c r="AQ41" s="270"/>
      <c r="AR41" s="270"/>
      <c r="AS41" s="270"/>
      <c r="AT41" s="270"/>
      <c r="AU41" s="271"/>
      <c r="AY41" s="143"/>
      <c r="BA41" s="144"/>
      <c r="BB41" s="144"/>
      <c r="BC41" s="144"/>
      <c r="BD41" s="144"/>
      <c r="BG41" s="283" t="s">
        <v>12</v>
      </c>
      <c r="BH41" s="284"/>
      <c r="BI41" s="257">
        <f t="shared" ref="BI41:BK41" si="38">IF($C$13&lt;&gt;"",TRUNC(BI40/12*LEFT($C$13,LEN($C$13)-2),-2),"")</f>
        <v>0</v>
      </c>
      <c r="BJ41" s="258">
        <f t="shared" si="38"/>
        <v>0</v>
      </c>
      <c r="BK41" s="258">
        <f t="shared" si="38"/>
        <v>0</v>
      </c>
      <c r="BL41" s="259">
        <f t="shared" ref="BL41" si="39">IF($C$13&lt;&gt;"",TRUNC(BL40/12*LEFT($C$13,LEN($C$13)-2),-2),"")</f>
        <v>0</v>
      </c>
      <c r="BM41" s="257">
        <f>IF($C$13&lt;&gt;"",TRUNC(BM40/12*LEFT($C$13,LEN($C$13)-2),-2),"")</f>
        <v>0</v>
      </c>
      <c r="BN41" s="258">
        <f>IF($C$13&lt;&gt;"",TRUNC(BN40/12*LEFT($C$13,LEN($C$13)-2),-2),"")</f>
        <v>0</v>
      </c>
      <c r="BO41" s="258">
        <f>IF($C$13&lt;&gt;"",TRUNC(BO40/12*LEFT($C$13,LEN($C$13)-2),-2),"")</f>
        <v>0</v>
      </c>
      <c r="BP41" s="259">
        <f t="shared" ref="BP41" si="40">IF($C$13&lt;&gt;"",TRUNC(BP40/12*LEFT($C$13,LEN($C$13)-2),-2),"")</f>
        <v>0</v>
      </c>
      <c r="BU41" s="188">
        <v>0</v>
      </c>
      <c r="BV41" s="189"/>
      <c r="BW41" s="190">
        <v>0</v>
      </c>
      <c r="BX41" s="191">
        <f t="shared" ref="BX41:CE41" si="41">$BW41</f>
        <v>0</v>
      </c>
      <c r="BY41" s="191">
        <f t="shared" si="41"/>
        <v>0</v>
      </c>
      <c r="BZ41" s="191">
        <f t="shared" si="41"/>
        <v>0</v>
      </c>
      <c r="CA41" s="191">
        <f t="shared" si="41"/>
        <v>0</v>
      </c>
      <c r="CB41" s="191">
        <f t="shared" si="41"/>
        <v>0</v>
      </c>
      <c r="CC41" s="191">
        <f t="shared" si="41"/>
        <v>0</v>
      </c>
      <c r="CD41" s="191">
        <f t="shared" si="41"/>
        <v>0</v>
      </c>
      <c r="CE41" s="191">
        <f t="shared" si="41"/>
        <v>0</v>
      </c>
    </row>
    <row r="42" spans="1:92" ht="24.75" customHeight="1">
      <c r="B42" s="288" t="s">
        <v>16</v>
      </c>
      <c r="C42" s="289"/>
      <c r="D42" s="289"/>
      <c r="E42" s="289"/>
      <c r="F42" s="289"/>
      <c r="G42" s="289"/>
      <c r="H42" s="289"/>
      <c r="I42" s="289"/>
      <c r="J42" s="289"/>
      <c r="K42" s="290"/>
      <c r="L42" s="354">
        <f t="shared" si="31"/>
        <v>0</v>
      </c>
      <c r="M42" s="355"/>
      <c r="N42" s="355"/>
      <c r="O42" s="355"/>
      <c r="P42" s="355"/>
      <c r="Q42" s="355"/>
      <c r="R42" s="355"/>
      <c r="S42" s="355"/>
      <c r="T42" s="356"/>
      <c r="U42" s="354">
        <f t="shared" si="32"/>
        <v>0</v>
      </c>
      <c r="V42" s="355"/>
      <c r="W42" s="355"/>
      <c r="X42" s="355"/>
      <c r="Y42" s="355"/>
      <c r="Z42" s="355"/>
      <c r="AA42" s="355"/>
      <c r="AB42" s="355"/>
      <c r="AC42" s="356"/>
      <c r="AD42" s="354">
        <f t="shared" si="33"/>
        <v>0</v>
      </c>
      <c r="AE42" s="355"/>
      <c r="AF42" s="355"/>
      <c r="AG42" s="355"/>
      <c r="AH42" s="355"/>
      <c r="AI42" s="355"/>
      <c r="AJ42" s="355"/>
      <c r="AK42" s="355"/>
      <c r="AL42" s="356"/>
      <c r="AM42" s="269">
        <f t="shared" si="34"/>
        <v>0</v>
      </c>
      <c r="AN42" s="270"/>
      <c r="AO42" s="270"/>
      <c r="AP42" s="270"/>
      <c r="AQ42" s="270"/>
      <c r="AR42" s="270"/>
      <c r="AS42" s="270"/>
      <c r="AT42" s="270"/>
      <c r="AU42" s="271"/>
      <c r="AY42" s="143"/>
      <c r="BA42" s="144"/>
      <c r="BB42" s="144"/>
      <c r="BC42" s="144"/>
      <c r="BD42" s="144"/>
      <c r="BU42" s="192">
        <v>650000</v>
      </c>
      <c r="BV42" s="193"/>
      <c r="BW42" s="194">
        <v>650000</v>
      </c>
      <c r="BX42" s="195">
        <f>$N20-$BW42</f>
        <v>-650000</v>
      </c>
      <c r="BY42" s="195">
        <f>$N21-$BW42</f>
        <v>-650000</v>
      </c>
      <c r="BZ42" s="195">
        <f>$N22-$BW42</f>
        <v>-650000</v>
      </c>
      <c r="CA42" s="195">
        <f>$N23-$BW42</f>
        <v>-650000</v>
      </c>
      <c r="CB42" s="195">
        <f>$N24-$BW42</f>
        <v>-650000</v>
      </c>
      <c r="CC42" s="195">
        <f>$N25-$BW42</f>
        <v>-650000</v>
      </c>
      <c r="CD42" s="195">
        <f>$N26-$BW42</f>
        <v>-650000</v>
      </c>
      <c r="CE42" s="195">
        <f>$N27-$BW42</f>
        <v>-650000</v>
      </c>
    </row>
    <row r="43" spans="1:92" ht="24.75" customHeight="1">
      <c r="B43" s="288" t="s">
        <v>196</v>
      </c>
      <c r="C43" s="289"/>
      <c r="D43" s="289"/>
      <c r="E43" s="289"/>
      <c r="F43" s="289"/>
      <c r="G43" s="289"/>
      <c r="H43" s="289"/>
      <c r="I43" s="289"/>
      <c r="J43" s="289"/>
      <c r="K43" s="290"/>
      <c r="L43" s="354">
        <f t="shared" si="31"/>
        <v>0</v>
      </c>
      <c r="M43" s="355"/>
      <c r="N43" s="355"/>
      <c r="O43" s="355"/>
      <c r="P43" s="355"/>
      <c r="Q43" s="355"/>
      <c r="R43" s="355"/>
      <c r="S43" s="355"/>
      <c r="T43" s="356"/>
      <c r="U43" s="354">
        <f t="shared" si="32"/>
        <v>0</v>
      </c>
      <c r="V43" s="355"/>
      <c r="W43" s="355"/>
      <c r="X43" s="355"/>
      <c r="Y43" s="355"/>
      <c r="Z43" s="355"/>
      <c r="AA43" s="355"/>
      <c r="AB43" s="355"/>
      <c r="AC43" s="356"/>
      <c r="AD43" s="354">
        <f t="shared" si="33"/>
        <v>0</v>
      </c>
      <c r="AE43" s="355"/>
      <c r="AF43" s="355"/>
      <c r="AG43" s="355"/>
      <c r="AH43" s="355"/>
      <c r="AI43" s="355"/>
      <c r="AJ43" s="355"/>
      <c r="AK43" s="355"/>
      <c r="AL43" s="356"/>
      <c r="AM43" s="269">
        <f t="shared" si="34"/>
        <v>0</v>
      </c>
      <c r="AN43" s="270"/>
      <c r="AO43" s="270"/>
      <c r="AP43" s="270"/>
      <c r="AQ43" s="270"/>
      <c r="AR43" s="270"/>
      <c r="AS43" s="270"/>
      <c r="AT43" s="270"/>
      <c r="AU43" s="271"/>
      <c r="AY43" s="143"/>
      <c r="AZ43" s="146"/>
      <c r="BA43" s="144"/>
      <c r="BB43" s="144"/>
      <c r="BC43" s="144"/>
      <c r="BD43" s="144"/>
      <c r="BU43" s="192">
        <v>1900000</v>
      </c>
      <c r="BV43" s="193">
        <v>0.7</v>
      </c>
      <c r="BW43" s="194">
        <v>80000</v>
      </c>
      <c r="BX43" s="195">
        <f>INT(TRUNC(($N20/4),-3)*4*$BV43-$BW43)</f>
        <v>-80000</v>
      </c>
      <c r="BY43" s="195">
        <f>INT(TRUNC(($N21/4),-3)*4*$BV43-$BW43)</f>
        <v>-80000</v>
      </c>
      <c r="BZ43" s="195">
        <f>INT(TRUNC(($N22/4),-3)*4*$BV43-$BW43)</f>
        <v>-80000</v>
      </c>
      <c r="CA43" s="195">
        <f>INT(TRUNC(($N23/4),-3)*4*$BV43-$BW43)</f>
        <v>-80000</v>
      </c>
      <c r="CB43" s="195">
        <f>INT(TRUNC(($N24/4),-3)*4*$BV43-$BW43)</f>
        <v>-80000</v>
      </c>
      <c r="CC43" s="195">
        <f>INT(TRUNC(($N25/4),-3)*4*$BV43-$BW43)</f>
        <v>-80000</v>
      </c>
      <c r="CD43" s="195">
        <f>INT(TRUNC(($N26/4),-3)*4*$BV43-$BW43)</f>
        <v>-80000</v>
      </c>
      <c r="CE43" s="195">
        <f>INT(TRUNC(($N27/4),-3)*4*$BV43-$BW43)</f>
        <v>-80000</v>
      </c>
    </row>
    <row r="44" spans="1:92" ht="24.75" customHeight="1">
      <c r="B44" s="288" t="s">
        <v>198</v>
      </c>
      <c r="C44" s="289"/>
      <c r="D44" s="289"/>
      <c r="E44" s="289"/>
      <c r="F44" s="289"/>
      <c r="G44" s="289"/>
      <c r="H44" s="289"/>
      <c r="I44" s="289"/>
      <c r="J44" s="289"/>
      <c r="K44" s="290"/>
      <c r="L44" s="354">
        <f t="shared" si="31"/>
        <v>0</v>
      </c>
      <c r="M44" s="355"/>
      <c r="N44" s="355"/>
      <c r="O44" s="355"/>
      <c r="P44" s="355"/>
      <c r="Q44" s="355"/>
      <c r="R44" s="355"/>
      <c r="S44" s="355"/>
      <c r="T44" s="356"/>
      <c r="U44" s="354">
        <f t="shared" si="32"/>
        <v>0</v>
      </c>
      <c r="V44" s="355"/>
      <c r="W44" s="355"/>
      <c r="X44" s="355"/>
      <c r="Y44" s="355"/>
      <c r="Z44" s="355"/>
      <c r="AA44" s="355"/>
      <c r="AB44" s="355"/>
      <c r="AC44" s="356"/>
      <c r="AD44" s="354">
        <f t="shared" si="33"/>
        <v>0</v>
      </c>
      <c r="AE44" s="355"/>
      <c r="AF44" s="355"/>
      <c r="AG44" s="355"/>
      <c r="AH44" s="355"/>
      <c r="AI44" s="355"/>
      <c r="AJ44" s="355"/>
      <c r="AK44" s="355"/>
      <c r="AL44" s="356"/>
      <c r="AM44" s="269">
        <f t="shared" si="34"/>
        <v>0</v>
      </c>
      <c r="AN44" s="270"/>
      <c r="AO44" s="270"/>
      <c r="AP44" s="270"/>
      <c r="AQ44" s="270"/>
      <c r="AR44" s="270"/>
      <c r="AS44" s="270"/>
      <c r="AT44" s="270"/>
      <c r="AU44" s="271"/>
      <c r="AY44" s="143"/>
      <c r="AZ44" s="146"/>
      <c r="BA44" s="144"/>
      <c r="BB44" s="144"/>
      <c r="BC44" s="144"/>
      <c r="BD44" s="144"/>
      <c r="BU44" s="192">
        <v>3600000</v>
      </c>
      <c r="BV44" s="193">
        <v>0.8</v>
      </c>
      <c r="BW44" s="194">
        <v>440000</v>
      </c>
      <c r="BX44" s="195">
        <f>INT(TRUNC(($N20/4),-3)*4*$BV44-$BW44)</f>
        <v>-440000</v>
      </c>
      <c r="BY44" s="195">
        <f>INT(TRUNC(($N21/4),-3)*4*$BV44-$BW44)</f>
        <v>-440000</v>
      </c>
      <c r="BZ44" s="195">
        <f>INT(TRUNC(($N22/4),-3)*4*$BV44-$BW44)</f>
        <v>-440000</v>
      </c>
      <c r="CA44" s="195">
        <f>INT(TRUNC(($N23/4),-3)*4*$BV44-$BW44)</f>
        <v>-440000</v>
      </c>
      <c r="CB44" s="195">
        <f>INT(TRUNC(($N24/4),-3)*4*$BV44-$BW44)</f>
        <v>-440000</v>
      </c>
      <c r="CC44" s="195">
        <f>INT(TRUNC(($N25/4),-3)*4*$BV44-$BW44)</f>
        <v>-440000</v>
      </c>
      <c r="CD44" s="195">
        <f>INT(TRUNC(($N26/4),-3)*4*$BV44-$BW44)</f>
        <v>-440000</v>
      </c>
      <c r="CE44" s="195">
        <f>INT(TRUNC(($N27/4),-3)*4*$BV44-$BW44)</f>
        <v>-440000</v>
      </c>
    </row>
    <row r="45" spans="1:92" ht="24.75" customHeight="1">
      <c r="B45" s="160"/>
      <c r="C45" s="160"/>
      <c r="D45" s="160"/>
      <c r="E45" s="160"/>
      <c r="F45" s="160"/>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Y45" s="143"/>
      <c r="BU45" s="192">
        <v>6600000</v>
      </c>
      <c r="BV45" s="193">
        <v>0.9</v>
      </c>
      <c r="BW45" s="194">
        <v>1100000</v>
      </c>
      <c r="BX45" s="195">
        <f>INT($N20*$BV45-$BW45)</f>
        <v>-1100000</v>
      </c>
      <c r="BY45" s="195">
        <f>INT($N21*$BV45-$BW45)</f>
        <v>-1100000</v>
      </c>
      <c r="BZ45" s="195">
        <f>INT($N22*$BV45-$BW45)</f>
        <v>-1100000</v>
      </c>
      <c r="CA45" s="195">
        <f>INT($N23*$BV45-$BW45)</f>
        <v>-1100000</v>
      </c>
      <c r="CB45" s="195">
        <f>INT($N24*$BV45-$BW45)</f>
        <v>-1100000</v>
      </c>
      <c r="CC45" s="195">
        <f>INT($N25*$BV45-$BW45)</f>
        <v>-1100000</v>
      </c>
      <c r="CD45" s="195">
        <f>INT($N26*$BV45-$BW45)</f>
        <v>-1100000</v>
      </c>
      <c r="CE45" s="195">
        <f>INT($N27*$BV45-$BW45)</f>
        <v>-1100000</v>
      </c>
    </row>
    <row r="46" spans="1:92" ht="24.75" customHeight="1" thickBot="1">
      <c r="A46" s="196" t="s">
        <v>241</v>
      </c>
      <c r="B46" s="197"/>
      <c r="C46" s="197"/>
      <c r="D46" s="197"/>
      <c r="E46" s="197"/>
      <c r="F46" s="197"/>
      <c r="G46" s="197"/>
      <c r="H46" s="197"/>
      <c r="I46" s="197"/>
      <c r="J46" s="197"/>
      <c r="K46" s="197"/>
      <c r="L46" s="197"/>
      <c r="M46" s="197"/>
      <c r="N46" s="197"/>
      <c r="O46" s="197"/>
      <c r="P46" s="197"/>
      <c r="Q46" s="197"/>
      <c r="S46" s="147"/>
      <c r="T46" s="147"/>
      <c r="V46" s="147"/>
      <c r="BU46" s="202">
        <v>8500000</v>
      </c>
      <c r="BV46" s="203"/>
      <c r="BW46" s="204">
        <v>1950000</v>
      </c>
      <c r="BX46" s="205">
        <f>$N20-$BW46</f>
        <v>-1950000</v>
      </c>
      <c r="BY46" s="205">
        <f>$N21-$BW46</f>
        <v>-1950000</v>
      </c>
      <c r="BZ46" s="205">
        <f>$N22-$BW46</f>
        <v>-1950000</v>
      </c>
      <c r="CA46" s="205">
        <f>$N23-$BW46</f>
        <v>-1950000</v>
      </c>
      <c r="CB46" s="205">
        <f>$N24-$BW46</f>
        <v>-1950000</v>
      </c>
      <c r="CC46" s="205">
        <f>$N25-$BW46</f>
        <v>-1950000</v>
      </c>
      <c r="CD46" s="205">
        <f>$N26-$BW46</f>
        <v>-1950000</v>
      </c>
      <c r="CE46" s="205">
        <f>$N27-$BW46</f>
        <v>-1950000</v>
      </c>
    </row>
    <row r="47" spans="1:92" ht="24.75" customHeight="1" thickBot="1">
      <c r="B47" s="147"/>
      <c r="C47" s="360">
        <f>IF($C$13="","",$L$44+$U$44+$AD$44+AM44)</f>
        <v>0</v>
      </c>
      <c r="D47" s="361"/>
      <c r="E47" s="361"/>
      <c r="F47" s="361"/>
      <c r="G47" s="361"/>
      <c r="H47" s="361"/>
      <c r="I47" s="362"/>
      <c r="J47" s="147"/>
      <c r="K47" s="147"/>
      <c r="L47" s="147"/>
      <c r="M47" s="147"/>
      <c r="N47" s="156" t="s">
        <v>4</v>
      </c>
      <c r="O47" s="156"/>
      <c r="P47" s="156"/>
      <c r="Q47" s="157"/>
      <c r="R47" s="157"/>
      <c r="S47" s="157"/>
      <c r="T47" s="157"/>
      <c r="U47" s="157"/>
      <c r="V47" s="157"/>
      <c r="W47" s="317">
        <f>IF($C$13="","",INT($C$47/LEFT($C$13,LEN($C$13)-2)))</f>
        <v>0</v>
      </c>
      <c r="X47" s="317"/>
      <c r="Y47" s="317"/>
      <c r="Z47" s="317"/>
      <c r="AA47" s="317"/>
      <c r="AB47" s="317"/>
      <c r="AC47" s="317"/>
      <c r="BU47" s="261"/>
      <c r="BV47" s="263"/>
      <c r="BW47" s="264"/>
      <c r="BX47" s="264"/>
      <c r="BY47" s="264"/>
      <c r="BZ47" s="264"/>
      <c r="CA47" s="264"/>
      <c r="CB47" s="264"/>
      <c r="CC47" s="264"/>
      <c r="CD47" s="264"/>
      <c r="CE47" s="264"/>
      <c r="CF47" s="265"/>
    </row>
    <row r="48" spans="1:92" ht="24.75" customHeight="1">
      <c r="B48" s="143"/>
      <c r="C48" s="143"/>
      <c r="D48" s="143"/>
      <c r="E48" s="143"/>
      <c r="F48" s="143"/>
      <c r="G48" s="143"/>
      <c r="H48" s="143"/>
      <c r="I48" s="143"/>
      <c r="J48" s="143"/>
      <c r="K48" s="147"/>
      <c r="L48" s="147"/>
      <c r="M48" s="147"/>
      <c r="N48" s="198"/>
      <c r="O48" s="198"/>
      <c r="P48" s="198"/>
      <c r="Q48" s="199"/>
      <c r="R48" s="199"/>
      <c r="S48" s="199"/>
      <c r="T48" s="199"/>
      <c r="U48" s="199"/>
      <c r="V48" s="199"/>
      <c r="W48" s="200"/>
      <c r="X48" s="200"/>
      <c r="Y48" s="200"/>
      <c r="Z48" s="200"/>
      <c r="AA48" s="200"/>
      <c r="AB48" s="200"/>
      <c r="AC48" s="200"/>
      <c r="BU48" s="262"/>
      <c r="BV48" s="266"/>
      <c r="BW48" s="266"/>
      <c r="BX48" s="266"/>
      <c r="BY48" s="266"/>
      <c r="BZ48" s="266"/>
      <c r="CA48" s="266"/>
      <c r="CB48" s="266"/>
      <c r="CC48" s="266"/>
      <c r="CD48" s="266"/>
      <c r="CE48" s="267"/>
      <c r="CF48" s="265"/>
    </row>
    <row r="49" spans="1:84" ht="24.75" customHeight="1">
      <c r="A49" s="197" t="s">
        <v>3</v>
      </c>
      <c r="C49" s="197"/>
      <c r="D49" s="197"/>
      <c r="E49" s="197"/>
      <c r="F49" s="197"/>
      <c r="G49" s="197"/>
      <c r="S49" s="147"/>
      <c r="T49" s="147"/>
      <c r="U49" s="147"/>
      <c r="V49" s="147"/>
      <c r="W49" s="147"/>
      <c r="X49" s="147"/>
      <c r="AE49" s="201"/>
      <c r="AF49" s="201"/>
      <c r="BV49" s="265"/>
      <c r="BW49" s="265"/>
      <c r="BX49" s="265"/>
      <c r="BY49" s="265"/>
      <c r="BZ49" s="265"/>
      <c r="CA49" s="265"/>
      <c r="CB49" s="265"/>
      <c r="CC49" s="265"/>
      <c r="CD49" s="265"/>
      <c r="CE49" s="268"/>
      <c r="CF49" s="265"/>
    </row>
    <row r="50" spans="1:84" ht="24.75" customHeight="1">
      <c r="B50" s="197"/>
      <c r="C50" s="142" t="s">
        <v>2</v>
      </c>
      <c r="D50" s="197"/>
      <c r="E50" s="197"/>
      <c r="F50" s="197"/>
      <c r="G50" s="197"/>
      <c r="S50" s="147"/>
      <c r="T50" s="147"/>
      <c r="U50" s="147"/>
      <c r="V50" s="147"/>
      <c r="W50" s="147"/>
      <c r="X50" s="147"/>
      <c r="AE50" s="201"/>
      <c r="AF50" s="201"/>
    </row>
    <row r="51" spans="1:84" ht="24.75" customHeight="1" thickBot="1">
      <c r="B51" s="197"/>
      <c r="C51" s="142" t="s">
        <v>223</v>
      </c>
      <c r="D51" s="197"/>
      <c r="E51" s="197"/>
      <c r="F51" s="197"/>
      <c r="G51" s="197"/>
      <c r="S51" s="147"/>
      <c r="T51" s="147"/>
      <c r="U51" s="147"/>
      <c r="V51" s="147"/>
      <c r="W51" s="147"/>
      <c r="X51" s="147"/>
      <c r="AE51" s="201"/>
      <c r="AF51" s="201"/>
    </row>
    <row r="52" spans="1:84" ht="24.75" customHeight="1" thickBot="1">
      <c r="B52" s="197"/>
      <c r="C52" s="363" t="str">
        <f>BT35</f>
        <v/>
      </c>
      <c r="D52" s="364"/>
      <c r="E52" s="364"/>
      <c r="F52" s="364"/>
      <c r="G52" s="364"/>
      <c r="H52" s="364"/>
      <c r="I52" s="365"/>
      <c r="J52" s="147"/>
      <c r="K52" s="147"/>
      <c r="L52" s="147"/>
      <c r="M52" s="147"/>
      <c r="N52" s="147"/>
      <c r="O52" s="147"/>
      <c r="P52" s="147"/>
      <c r="Q52" s="147"/>
      <c r="R52" s="147"/>
      <c r="S52" s="147"/>
      <c r="T52" s="147"/>
      <c r="U52" s="147"/>
      <c r="V52" s="147"/>
      <c r="W52" s="147"/>
      <c r="X52" s="147"/>
      <c r="AE52" s="201"/>
      <c r="AF52" s="201"/>
      <c r="BV52" s="145"/>
      <c r="BX52" s="146"/>
      <c r="BY52" s="142"/>
      <c r="BZ52" s="142"/>
      <c r="CA52" s="142"/>
      <c r="CB52" s="142"/>
      <c r="CC52" s="142"/>
      <c r="CD52" s="142"/>
      <c r="CE52" s="142"/>
    </row>
    <row r="53" spans="1:84" ht="24.75" customHeight="1" thickBot="1">
      <c r="B53" s="197"/>
      <c r="C53" s="142" t="s">
        <v>0</v>
      </c>
      <c r="D53" s="164"/>
      <c r="E53" s="164"/>
      <c r="F53" s="164"/>
      <c r="G53" s="164"/>
      <c r="H53" s="164"/>
      <c r="I53" s="164"/>
      <c r="J53" s="147"/>
      <c r="K53" s="147"/>
      <c r="L53" s="147"/>
      <c r="M53" s="147"/>
      <c r="N53" s="147"/>
      <c r="O53" s="147"/>
      <c r="P53" s="147"/>
      <c r="Q53" s="147"/>
      <c r="R53" s="147"/>
      <c r="S53" s="147"/>
      <c r="T53" s="147"/>
      <c r="U53" s="147"/>
      <c r="V53" s="147"/>
      <c r="W53" s="147"/>
      <c r="X53" s="147"/>
      <c r="AE53" s="201"/>
      <c r="AF53" s="201"/>
      <c r="BU53" s="251" t="s">
        <v>230</v>
      </c>
      <c r="BV53" s="251"/>
      <c r="BW53" s="251"/>
      <c r="BX53" s="146"/>
      <c r="BY53" s="142"/>
      <c r="BZ53" s="142"/>
      <c r="CA53" s="142"/>
      <c r="CB53" s="142"/>
      <c r="CC53" s="142"/>
      <c r="CD53" s="142"/>
      <c r="CE53" s="142"/>
    </row>
    <row r="54" spans="1:84" ht="24" customHeight="1" thickBot="1">
      <c r="B54" s="197"/>
      <c r="C54" s="360">
        <f>IF($C$13="","",SUM(BM41:BP41))</f>
        <v>0</v>
      </c>
      <c r="D54" s="361"/>
      <c r="E54" s="361"/>
      <c r="F54" s="361"/>
      <c r="G54" s="361"/>
      <c r="H54" s="361"/>
      <c r="I54" s="362"/>
      <c r="J54" s="147"/>
      <c r="K54" s="147"/>
      <c r="L54" s="147"/>
      <c r="M54" s="147"/>
      <c r="N54" s="147"/>
      <c r="O54" s="147"/>
      <c r="P54" s="147"/>
      <c r="Q54" s="147"/>
      <c r="R54" s="147"/>
      <c r="S54" s="147"/>
      <c r="T54" s="147"/>
      <c r="U54" s="147"/>
      <c r="V54" s="147"/>
      <c r="W54" s="147"/>
      <c r="X54" s="147"/>
      <c r="AE54" s="201"/>
      <c r="AF54" s="201"/>
      <c r="BU54" s="252"/>
      <c r="BV54" s="252"/>
      <c r="BW54" s="252"/>
      <c r="BX54" s="206"/>
      <c r="BY54" s="206"/>
      <c r="BZ54" s="206"/>
      <c r="CA54" s="206"/>
      <c r="CB54" s="206"/>
      <c r="CC54" s="206"/>
      <c r="CD54" s="206"/>
      <c r="CE54" s="206"/>
    </row>
    <row r="55" spans="1:84" ht="24" customHeight="1">
      <c r="G55" s="160"/>
      <c r="BU55" s="248" t="s">
        <v>57</v>
      </c>
      <c r="BV55" s="250"/>
      <c r="BW55" s="249"/>
      <c r="BX55" s="309" t="s">
        <v>36</v>
      </c>
      <c r="BY55" s="310"/>
      <c r="BZ55" s="310"/>
      <c r="CA55" s="310"/>
      <c r="CB55" s="310"/>
      <c r="CC55" s="310"/>
      <c r="CD55" s="310"/>
      <c r="CE55" s="311"/>
    </row>
    <row r="56" spans="1:84" ht="24" customHeight="1">
      <c r="BF56" s="144"/>
      <c r="BU56" s="207" t="s">
        <v>33</v>
      </c>
      <c r="BV56" s="242" t="s">
        <v>32</v>
      </c>
      <c r="BW56" s="248"/>
      <c r="BX56" s="208" t="s">
        <v>31</v>
      </c>
      <c r="BY56" s="208" t="s">
        <v>208</v>
      </c>
      <c r="BZ56" s="208" t="s">
        <v>209</v>
      </c>
      <c r="CA56" s="208" t="s">
        <v>210</v>
      </c>
      <c r="CB56" s="208" t="s">
        <v>211</v>
      </c>
      <c r="CC56" s="208" t="s">
        <v>212</v>
      </c>
      <c r="CD56" s="208" t="s">
        <v>213</v>
      </c>
      <c r="CE56" s="208" t="s">
        <v>214</v>
      </c>
    </row>
    <row r="57" spans="1:84" ht="24" customHeight="1">
      <c r="BF57" s="144"/>
      <c r="BU57" s="209">
        <v>0</v>
      </c>
      <c r="BV57" s="210"/>
      <c r="BW57" s="211">
        <v>600000</v>
      </c>
      <c r="BX57" s="212">
        <f>IF($V20&lt;$BW57,0,$V20-$BW57)</f>
        <v>0</v>
      </c>
      <c r="BY57" s="212">
        <f>IF($V21&lt;$BW57,0,$V21-$BW57)</f>
        <v>0</v>
      </c>
      <c r="BZ57" s="212">
        <f>IF($V22&lt;$BW57,0,$V22-$BW57)</f>
        <v>0</v>
      </c>
      <c r="CA57" s="212">
        <f>IF($V23&lt;$BW57,0,$V23-$BW57)</f>
        <v>0</v>
      </c>
      <c r="CB57" s="212">
        <f>IF($V24&lt;$BW57,0,$V24-$BW57)</f>
        <v>0</v>
      </c>
      <c r="CC57" s="212">
        <f>IF($V25&lt;$BW57,0,$V25-$BW57)</f>
        <v>0</v>
      </c>
      <c r="CD57" s="212">
        <f>IF($V26&lt;$BW57,0,$V26-$BW57)</f>
        <v>0</v>
      </c>
      <c r="CE57" s="212">
        <f>IF($V27&lt;$BW57,0,$V27-$BW57)</f>
        <v>0</v>
      </c>
    </row>
    <row r="58" spans="1:84" ht="24" customHeight="1">
      <c r="BF58" s="144"/>
      <c r="BU58" s="213"/>
      <c r="BV58" s="214"/>
      <c r="BW58" s="215"/>
      <c r="BX58" s="216"/>
      <c r="BY58" s="216"/>
      <c r="BZ58" s="216"/>
      <c r="CA58" s="216"/>
      <c r="CB58" s="216"/>
      <c r="CC58" s="216"/>
      <c r="CD58" s="216"/>
      <c r="CE58" s="216"/>
    </row>
    <row r="59" spans="1:84" ht="24" customHeight="1">
      <c r="BF59" s="144"/>
      <c r="BU59" s="217">
        <v>1300000</v>
      </c>
      <c r="BV59" s="218">
        <v>0.75</v>
      </c>
      <c r="BW59" s="219">
        <v>275000</v>
      </c>
      <c r="BX59" s="220">
        <f>INT($V20*$BV59-$BW59)</f>
        <v>-275000</v>
      </c>
      <c r="BY59" s="220">
        <f>INT($V21*$BV59-$BW59)</f>
        <v>-275000</v>
      </c>
      <c r="BZ59" s="220">
        <f>INT($V22*$BV59-$BW59)</f>
        <v>-275000</v>
      </c>
      <c r="CA59" s="220">
        <f>INT($V23*$BV59-$BW59)</f>
        <v>-275000</v>
      </c>
      <c r="CB59" s="220">
        <f>INT($V24*$BV59-$BW59)</f>
        <v>-275000</v>
      </c>
      <c r="CC59" s="220">
        <f>INT($V25*$BV59-$BW59)</f>
        <v>-275000</v>
      </c>
      <c r="CD59" s="220">
        <f>INT($V26*$BV59-$BW59)</f>
        <v>-275000</v>
      </c>
      <c r="CE59" s="220">
        <f>INT($V27*$BV59-$BW59)</f>
        <v>-275000</v>
      </c>
    </row>
    <row r="60" spans="1:84" ht="19" customHeight="1">
      <c r="BF60" s="144"/>
      <c r="BU60" s="217">
        <v>4100000</v>
      </c>
      <c r="BV60" s="218">
        <v>0.85</v>
      </c>
      <c r="BW60" s="219">
        <v>685000</v>
      </c>
      <c r="BX60" s="220">
        <f>INT($V20*$BV60-$BW60)</f>
        <v>-685000</v>
      </c>
      <c r="BY60" s="220">
        <f>INT($V21*$BV60-$BW60)</f>
        <v>-685000</v>
      </c>
      <c r="BZ60" s="220">
        <f>INT($V22*$BV60-$BW60)</f>
        <v>-685000</v>
      </c>
      <c r="CA60" s="220">
        <f>INT($V23*$BV60-$BW60)</f>
        <v>-685000</v>
      </c>
      <c r="CB60" s="220">
        <f>INT($V24*$BV60-$BW60)</f>
        <v>-685000</v>
      </c>
      <c r="CC60" s="220">
        <f>INT($V25*$BV60-$BW60)</f>
        <v>-685000</v>
      </c>
      <c r="CD60" s="220">
        <f>INT($V26*$BV60-$BW60)</f>
        <v>-685000</v>
      </c>
      <c r="CE60" s="220">
        <f>INT($V27*$BV60-$BW60)</f>
        <v>-685000</v>
      </c>
    </row>
    <row r="61" spans="1:84" ht="19" customHeight="1">
      <c r="BD61" s="146"/>
      <c r="BF61" s="144"/>
      <c r="BU61" s="217">
        <v>7700000</v>
      </c>
      <c r="BV61" s="218">
        <v>0.95</v>
      </c>
      <c r="BW61" s="219">
        <v>1455000</v>
      </c>
      <c r="BX61" s="220">
        <f>INT($V20*$BV61-$BW61)</f>
        <v>-1455000</v>
      </c>
      <c r="BY61" s="220">
        <f>INT($V21*$BV61-$BW61)</f>
        <v>-1455000</v>
      </c>
      <c r="BZ61" s="220">
        <f>INT($V22*$BV61-$BW61)</f>
        <v>-1455000</v>
      </c>
      <c r="CA61" s="220">
        <f>INT($V23*$BV61-$BW61)</f>
        <v>-1455000</v>
      </c>
      <c r="CB61" s="220">
        <f>INT($V24*$BV61-$BW61)</f>
        <v>-1455000</v>
      </c>
      <c r="CC61" s="220">
        <f>INT($V25*$BV61-$BW61)</f>
        <v>-1455000</v>
      </c>
      <c r="CD61" s="220">
        <f>INT($V26*$BV61-$BW61)</f>
        <v>-1455000</v>
      </c>
      <c r="CE61" s="220">
        <f>INT($V27*$BV61-$BW61)</f>
        <v>-1455000</v>
      </c>
    </row>
    <row r="62" spans="1:84" ht="19" customHeight="1">
      <c r="BD62" s="146"/>
      <c r="BF62" s="144"/>
      <c r="BU62" s="221">
        <v>10000000</v>
      </c>
      <c r="BV62" s="222"/>
      <c r="BW62" s="223">
        <v>1955000</v>
      </c>
      <c r="BX62" s="224">
        <f>$V20-$BW62</f>
        <v>-1955000</v>
      </c>
      <c r="BY62" s="224">
        <f>$V21-$BW62</f>
        <v>-1955000</v>
      </c>
      <c r="BZ62" s="224">
        <f>$V22-$BW62</f>
        <v>-1955000</v>
      </c>
      <c r="CA62" s="224">
        <f>$V23-$BW62</f>
        <v>-1955000</v>
      </c>
      <c r="CB62" s="224">
        <f>$V24-$BW62</f>
        <v>-1955000</v>
      </c>
      <c r="CC62" s="224">
        <f>$V25-$BW62</f>
        <v>-1955000</v>
      </c>
      <c r="CD62" s="224">
        <f>$V26-$BW62</f>
        <v>-1955000</v>
      </c>
      <c r="CE62" s="224">
        <f>$V27-$BW62</f>
        <v>-1955000</v>
      </c>
    </row>
    <row r="63" spans="1:84" ht="19" customHeight="1">
      <c r="BD63" s="146"/>
      <c r="BF63" s="144"/>
      <c r="BU63" s="245" t="s">
        <v>221</v>
      </c>
      <c r="BV63" s="246"/>
      <c r="BW63" s="247"/>
      <c r="BX63" s="357" t="s">
        <v>36</v>
      </c>
      <c r="BY63" s="357"/>
      <c r="BZ63" s="357"/>
      <c r="CA63" s="357"/>
      <c r="CB63" s="357"/>
      <c r="CC63" s="357"/>
      <c r="CD63" s="357"/>
      <c r="CE63" s="357"/>
    </row>
    <row r="64" spans="1:84" ht="19" customHeight="1">
      <c r="A64" s="146"/>
      <c r="BC64" s="146"/>
      <c r="BD64" s="146"/>
      <c r="BF64" s="146"/>
      <c r="BU64" s="207" t="s">
        <v>33</v>
      </c>
      <c r="BV64" s="248" t="s">
        <v>32</v>
      </c>
      <c r="BW64" s="249"/>
      <c r="BX64" s="208" t="s">
        <v>31</v>
      </c>
      <c r="BY64" s="208" t="s">
        <v>208</v>
      </c>
      <c r="BZ64" s="208" t="s">
        <v>209</v>
      </c>
      <c r="CA64" s="208" t="s">
        <v>210</v>
      </c>
      <c r="CB64" s="208" t="s">
        <v>211</v>
      </c>
      <c r="CC64" s="208" t="s">
        <v>212</v>
      </c>
      <c r="CD64" s="208" t="s">
        <v>213</v>
      </c>
      <c r="CE64" s="208" t="s">
        <v>214</v>
      </c>
    </row>
    <row r="65" spans="1:88" ht="19" customHeight="1">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BB65" s="146"/>
      <c r="BC65" s="146"/>
      <c r="BD65" s="146"/>
      <c r="BF65" s="146"/>
      <c r="BG65" s="146"/>
      <c r="BH65" s="146"/>
      <c r="BI65" s="146"/>
      <c r="BJ65" s="146"/>
      <c r="BK65" s="146"/>
      <c r="BL65" s="146"/>
      <c r="BM65" s="146"/>
      <c r="BN65" s="146"/>
      <c r="BU65" s="225">
        <v>0</v>
      </c>
      <c r="BV65" s="226"/>
      <c r="BW65" s="211">
        <v>1100000</v>
      </c>
      <c r="BX65" s="212">
        <f>IF($V20&lt;$BW65,0,$V20-$BW65)</f>
        <v>0</v>
      </c>
      <c r="BY65" s="212">
        <f>IF($V21&lt;$BW65,0,$V21-$BW65)</f>
        <v>0</v>
      </c>
      <c r="BZ65" s="212">
        <f>IF($V22&lt;$BW65,0,$V22-$BW65)</f>
        <v>0</v>
      </c>
      <c r="CA65" s="212">
        <f>IF($V23&lt;$BW65,0,$V23-$BW65)</f>
        <v>0</v>
      </c>
      <c r="CB65" s="212">
        <f>IF($V24&lt;$BW65,0,$V24-$BW65)</f>
        <v>0</v>
      </c>
      <c r="CC65" s="212">
        <f>IF($V25&lt;$BW65,0,$V25-$BW65)</f>
        <v>0</v>
      </c>
      <c r="CD65" s="212">
        <f>IF($V26&lt;$BW65,0,$V26-$BW65)</f>
        <v>0</v>
      </c>
      <c r="CE65" s="212">
        <f>IF($V27&lt;$BW65,0,$V27-$BW65)</f>
        <v>0</v>
      </c>
    </row>
    <row r="66" spans="1:88" ht="19" customHeight="1">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BB66" s="146"/>
      <c r="BC66" s="146"/>
      <c r="BD66" s="146"/>
      <c r="BF66" s="146"/>
      <c r="BG66" s="146"/>
      <c r="BH66" s="146"/>
      <c r="BI66" s="146"/>
      <c r="BJ66" s="146"/>
      <c r="BK66" s="146"/>
      <c r="BL66" s="146"/>
      <c r="BM66" s="146"/>
      <c r="BN66" s="146"/>
      <c r="BO66" s="142"/>
      <c r="BP66" s="142"/>
      <c r="BQ66" s="142"/>
      <c r="BR66" s="142"/>
      <c r="BS66" s="142"/>
      <c r="BT66" s="142"/>
      <c r="BU66" s="217">
        <v>3300000</v>
      </c>
      <c r="BV66" s="227">
        <v>0.75</v>
      </c>
      <c r="BW66" s="219">
        <v>275000</v>
      </c>
      <c r="BX66" s="220">
        <f>INT($V20*$BV66-$BW66)</f>
        <v>-275000</v>
      </c>
      <c r="BY66" s="220">
        <f>INT($V21*$BV66-$BW66)</f>
        <v>-275000</v>
      </c>
      <c r="BZ66" s="220">
        <f>INT($V22*$BV66-$BW66)</f>
        <v>-275000</v>
      </c>
      <c r="CA66" s="220">
        <f>INT($V23*$BV66-$BW66)</f>
        <v>-275000</v>
      </c>
      <c r="CB66" s="220">
        <f>INT($V24*$BV66-$BW66)</f>
        <v>-275000</v>
      </c>
      <c r="CC66" s="220">
        <f>INT($V25*$BV66-$BW66)</f>
        <v>-275000</v>
      </c>
      <c r="CD66" s="220">
        <f>INT($V26*$BV66-$BW66)</f>
        <v>-275000</v>
      </c>
      <c r="CE66" s="220">
        <f>INT($V27*$BV66-$BW66)</f>
        <v>-275000</v>
      </c>
    </row>
    <row r="67" spans="1:88" ht="19" customHeight="1">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F67" s="146"/>
      <c r="BG67" s="146"/>
      <c r="BH67" s="146"/>
      <c r="BI67" s="146"/>
      <c r="BJ67" s="146"/>
      <c r="BK67" s="146"/>
      <c r="BL67" s="146"/>
      <c r="BM67" s="146"/>
      <c r="BN67" s="146"/>
      <c r="BO67" s="146"/>
      <c r="BP67" s="146"/>
      <c r="BQ67" s="146"/>
      <c r="BR67" s="146"/>
      <c r="BS67" s="146"/>
      <c r="BT67" s="146"/>
      <c r="BU67" s="217">
        <v>4100000</v>
      </c>
      <c r="BV67" s="227">
        <v>0.85</v>
      </c>
      <c r="BW67" s="219">
        <v>685000</v>
      </c>
      <c r="BX67" s="220">
        <f>INT($V20*$BV67-$BW67)</f>
        <v>-685000</v>
      </c>
      <c r="BY67" s="220">
        <f>INT($V21*$BV67-$BW67)</f>
        <v>-685000</v>
      </c>
      <c r="BZ67" s="220">
        <f>INT($V22*$BV67-$BW67)</f>
        <v>-685000</v>
      </c>
      <c r="CA67" s="220">
        <f>INT($V23*$BV67-$BW67)</f>
        <v>-685000</v>
      </c>
      <c r="CB67" s="220">
        <f>INT($V24*$BV67-$BW67)</f>
        <v>-685000</v>
      </c>
      <c r="CC67" s="220">
        <f>INT($V25*$BV67-$BW67)</f>
        <v>-685000</v>
      </c>
      <c r="CD67" s="220">
        <f>INT($V26*$BV67-$BW67)</f>
        <v>-685000</v>
      </c>
      <c r="CE67" s="220">
        <f>INT($V27*$BV67-$BW67)</f>
        <v>-685000</v>
      </c>
    </row>
    <row r="68" spans="1:88" ht="19" customHeight="1">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F68" s="146"/>
      <c r="BG68" s="146"/>
      <c r="BH68" s="146"/>
      <c r="BI68" s="146"/>
      <c r="BJ68" s="146"/>
      <c r="BK68" s="146"/>
      <c r="BL68" s="146"/>
      <c r="BM68" s="146"/>
      <c r="BN68" s="146"/>
      <c r="BO68" s="146"/>
      <c r="BP68" s="146"/>
      <c r="BQ68" s="146"/>
      <c r="BR68" s="146"/>
      <c r="BS68" s="146"/>
      <c r="BT68" s="146"/>
      <c r="BU68" s="217">
        <v>7700000</v>
      </c>
      <c r="BV68" s="227">
        <v>0.95</v>
      </c>
      <c r="BW68" s="219">
        <v>1455000</v>
      </c>
      <c r="BX68" s="220">
        <f>INT($V20*$BV68-$BW68)</f>
        <v>-1455000</v>
      </c>
      <c r="BY68" s="220">
        <f>INT($V21*$BV68-$BW68)</f>
        <v>-1455000</v>
      </c>
      <c r="BZ68" s="220">
        <f>INT($V22*$BV68-$BW68)</f>
        <v>-1455000</v>
      </c>
      <c r="CA68" s="220">
        <f>INT($V23*$BV68-$BW68)</f>
        <v>-1455000</v>
      </c>
      <c r="CB68" s="220">
        <f>INT($V24*$BV68-$BW68)</f>
        <v>-1455000</v>
      </c>
      <c r="CC68" s="220">
        <f>INT($V25*$BV68-$BW68)</f>
        <v>-1455000</v>
      </c>
      <c r="CD68" s="220">
        <f>INT($V26*$BV68-$BW68)</f>
        <v>-1455000</v>
      </c>
      <c r="CE68" s="220">
        <f>INT($V27*$BV68-$BW68)</f>
        <v>-1455000</v>
      </c>
    </row>
    <row r="69" spans="1:88" ht="19" customHeight="1">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F69" s="146"/>
      <c r="BG69" s="146"/>
      <c r="BH69" s="146"/>
      <c r="BI69" s="146"/>
      <c r="BJ69" s="146"/>
      <c r="BK69" s="146"/>
      <c r="BL69" s="146"/>
      <c r="BM69" s="146"/>
      <c r="BN69" s="146"/>
      <c r="BO69" s="146"/>
      <c r="BP69" s="146"/>
      <c r="BQ69" s="146"/>
      <c r="BR69" s="146"/>
      <c r="BS69" s="146"/>
      <c r="BT69" s="146"/>
      <c r="BU69" s="228">
        <v>10000000</v>
      </c>
      <c r="BV69" s="229"/>
      <c r="BW69" s="230">
        <v>1955000</v>
      </c>
      <c r="BX69" s="224">
        <f>$V20-$BW69</f>
        <v>-1955000</v>
      </c>
      <c r="BY69" s="224">
        <f>$V21-$BW69</f>
        <v>-1955000</v>
      </c>
      <c r="BZ69" s="224">
        <f>$V22-$BW69</f>
        <v>-1955000</v>
      </c>
      <c r="CA69" s="224">
        <f>$V23-$BW69</f>
        <v>-1955000</v>
      </c>
      <c r="CB69" s="224">
        <f>$V24-$BW69</f>
        <v>-1955000</v>
      </c>
      <c r="CC69" s="224">
        <f>$V25-$BW69</f>
        <v>-1955000</v>
      </c>
      <c r="CD69" s="224">
        <f>$V26-$BW69</f>
        <v>-1955000</v>
      </c>
      <c r="CE69" s="224">
        <f>$V27-$BW69</f>
        <v>-1955000</v>
      </c>
    </row>
    <row r="70" spans="1:88" ht="19" customHeight="1">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F70" s="146"/>
      <c r="BG70" s="146"/>
      <c r="BH70" s="146"/>
      <c r="BI70" s="146"/>
      <c r="BJ70" s="146"/>
      <c r="BK70" s="146"/>
      <c r="BL70" s="146"/>
      <c r="BM70" s="146"/>
      <c r="BN70" s="146"/>
      <c r="BO70" s="146"/>
      <c r="BP70" s="146"/>
      <c r="BQ70" s="146"/>
      <c r="BR70" s="146"/>
      <c r="BS70" s="146"/>
      <c r="BT70" s="146"/>
      <c r="BV70" s="145"/>
      <c r="BX70" s="146"/>
      <c r="BY70" s="142"/>
      <c r="BZ70" s="142"/>
      <c r="CA70" s="142"/>
      <c r="CB70" s="142"/>
      <c r="CC70" s="142"/>
      <c r="CD70" s="142"/>
      <c r="CE70" s="142"/>
    </row>
    <row r="71" spans="1:88" ht="19" customHeight="1">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F71" s="146"/>
      <c r="BG71" s="146"/>
      <c r="BH71" s="146"/>
      <c r="BI71" s="146"/>
      <c r="BJ71" s="146"/>
      <c r="BK71" s="146"/>
      <c r="BL71" s="146"/>
      <c r="BM71" s="146"/>
      <c r="BN71" s="146"/>
      <c r="BO71" s="146"/>
      <c r="BP71" s="146"/>
      <c r="BQ71" s="146"/>
      <c r="BR71" s="146"/>
      <c r="BS71" s="146"/>
      <c r="BT71" s="146"/>
      <c r="BU71" s="144" t="s">
        <v>231</v>
      </c>
      <c r="BV71" s="145"/>
      <c r="BX71" s="146"/>
      <c r="BY71" s="142"/>
      <c r="BZ71" s="142"/>
      <c r="CA71" s="142"/>
      <c r="CB71" s="142"/>
      <c r="CC71" s="142"/>
      <c r="CD71" s="142"/>
      <c r="CE71" s="142"/>
    </row>
    <row r="72" spans="1:88" ht="19" customHeight="1">
      <c r="A72" s="146"/>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F72" s="146"/>
      <c r="BG72" s="146"/>
      <c r="BH72" s="146"/>
      <c r="BI72" s="146"/>
      <c r="BJ72" s="146"/>
      <c r="BK72" s="146"/>
      <c r="BL72" s="146"/>
      <c r="BM72" s="146"/>
      <c r="BN72" s="146"/>
      <c r="BO72" s="146"/>
      <c r="BP72" s="146"/>
      <c r="BQ72" s="146"/>
      <c r="BR72" s="146"/>
      <c r="BS72" s="146"/>
      <c r="BT72" s="146"/>
      <c r="BU72" s="243" t="s">
        <v>8</v>
      </c>
      <c r="BV72" s="243" t="s">
        <v>7</v>
      </c>
      <c r="BW72" s="244"/>
      <c r="BX72" s="146"/>
      <c r="BY72" s="142"/>
      <c r="BZ72" s="142"/>
      <c r="CA72" s="142"/>
      <c r="CB72" s="142"/>
      <c r="CC72" s="142"/>
      <c r="CD72" s="142"/>
      <c r="CE72" s="142"/>
    </row>
    <row r="73" spans="1:88" ht="19" customHeight="1">
      <c r="A73" s="146"/>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O73" s="146"/>
      <c r="BP73" s="146"/>
      <c r="BQ73" s="146"/>
      <c r="BR73" s="146"/>
      <c r="BS73" s="146"/>
      <c r="BT73" s="146"/>
      <c r="BU73" s="231">
        <v>0</v>
      </c>
      <c r="BV73" s="232"/>
      <c r="BW73" s="233">
        <v>430000</v>
      </c>
      <c r="BX73" s="146"/>
      <c r="BY73" s="142"/>
      <c r="BZ73" s="142"/>
      <c r="CA73" s="142"/>
      <c r="CB73" s="142"/>
      <c r="CC73" s="142"/>
      <c r="CD73" s="142"/>
      <c r="CE73" s="142"/>
    </row>
    <row r="74" spans="1:88" ht="19" customHeight="1">
      <c r="A74" s="146"/>
      <c r="B74" s="146"/>
      <c r="C74" s="146"/>
      <c r="D74" s="146"/>
      <c r="E74" s="146"/>
      <c r="F74" s="146"/>
      <c r="G74" s="146"/>
      <c r="H74" s="146"/>
      <c r="I74" s="146"/>
      <c r="J74" s="146"/>
      <c r="K74" s="146"/>
      <c r="L74" s="146"/>
      <c r="M74" s="146"/>
      <c r="N74" s="146"/>
      <c r="O74" s="146"/>
      <c r="P74" s="146"/>
      <c r="Q74" s="146"/>
      <c r="R74" s="146"/>
      <c r="S74" s="146"/>
      <c r="T74" s="146"/>
      <c r="U74" s="146"/>
      <c r="V74" s="146"/>
      <c r="W74" s="146"/>
      <c r="X74" s="146"/>
      <c r="Y74" s="146"/>
      <c r="Z74" s="146"/>
      <c r="AA74" s="146"/>
      <c r="AB74" s="146"/>
      <c r="AC74" s="146"/>
      <c r="AD74" s="146"/>
      <c r="AE74" s="146"/>
      <c r="AF74" s="146"/>
      <c r="AG74" s="146"/>
      <c r="AH74" s="146"/>
      <c r="AI74" s="146"/>
      <c r="AJ74" s="146"/>
      <c r="AK74" s="146"/>
      <c r="AL74" s="146"/>
      <c r="AM74" s="146"/>
      <c r="AN74" s="146"/>
      <c r="AO74" s="146"/>
      <c r="AP74" s="146"/>
      <c r="AQ74" s="146"/>
      <c r="AR74" s="146"/>
      <c r="AS74" s="146"/>
      <c r="AT74" s="146"/>
      <c r="AU74" s="146"/>
      <c r="AV74" s="146"/>
      <c r="AW74" s="146"/>
      <c r="AX74" s="146"/>
      <c r="AY74" s="146"/>
      <c r="AZ74" s="146"/>
      <c r="BA74" s="146"/>
      <c r="BB74" s="146"/>
      <c r="BC74" s="146"/>
      <c r="BO74" s="142"/>
      <c r="BP74" s="142"/>
      <c r="BQ74" s="142"/>
      <c r="BR74" s="142"/>
      <c r="BS74" s="142"/>
      <c r="BT74" s="142"/>
      <c r="BU74" s="192">
        <v>24000001</v>
      </c>
      <c r="BV74" s="234"/>
      <c r="BW74" s="235">
        <v>290000</v>
      </c>
      <c r="BX74" s="146"/>
      <c r="BY74" s="142"/>
      <c r="BZ74" s="142"/>
      <c r="CA74" s="142"/>
      <c r="CB74" s="142"/>
      <c r="CC74" s="142"/>
      <c r="CD74" s="142"/>
      <c r="CE74" s="142"/>
    </row>
    <row r="75" spans="1:88" ht="19" customHeight="1">
      <c r="A75" s="146"/>
      <c r="B75" s="146"/>
      <c r="C75" s="146"/>
      <c r="D75" s="146"/>
      <c r="E75" s="146"/>
      <c r="F75" s="146"/>
      <c r="G75" s="146"/>
      <c r="H75" s="146"/>
      <c r="I75" s="146"/>
      <c r="J75" s="146"/>
      <c r="K75" s="146"/>
      <c r="L75" s="146"/>
      <c r="M75" s="146"/>
      <c r="N75" s="146"/>
      <c r="O75" s="146"/>
      <c r="P75" s="146"/>
      <c r="Q75" s="146"/>
      <c r="R75" s="146"/>
      <c r="S75" s="146"/>
      <c r="T75" s="146"/>
      <c r="U75" s="146"/>
      <c r="V75" s="146"/>
      <c r="W75" s="146"/>
      <c r="X75" s="146"/>
      <c r="Y75" s="146"/>
      <c r="Z75" s="146"/>
      <c r="AA75" s="146"/>
      <c r="AB75" s="146"/>
      <c r="AC75" s="146"/>
      <c r="AD75" s="146"/>
      <c r="AE75" s="146"/>
      <c r="AF75" s="146"/>
      <c r="AG75" s="146"/>
      <c r="AH75" s="146"/>
      <c r="AI75" s="146"/>
      <c r="AJ75" s="146"/>
      <c r="AK75" s="146"/>
      <c r="AL75" s="146"/>
      <c r="AM75" s="146"/>
      <c r="AN75" s="146"/>
      <c r="AO75" s="146"/>
      <c r="AP75" s="146"/>
      <c r="AQ75" s="146"/>
      <c r="AR75" s="146"/>
      <c r="AS75" s="146"/>
      <c r="AT75" s="146"/>
      <c r="AU75" s="146"/>
      <c r="AV75" s="146"/>
      <c r="AW75" s="146"/>
      <c r="AX75" s="146"/>
      <c r="AY75" s="146"/>
      <c r="AZ75" s="146"/>
      <c r="BA75" s="146"/>
      <c r="BB75" s="146"/>
      <c r="BC75" s="146"/>
      <c r="BU75" s="236">
        <v>24500001</v>
      </c>
      <c r="BV75" s="234"/>
      <c r="BW75" s="237">
        <v>150000</v>
      </c>
      <c r="BX75" s="146"/>
      <c r="BY75" s="142"/>
      <c r="BZ75" s="142"/>
      <c r="CA75" s="142"/>
      <c r="CB75" s="142"/>
      <c r="CC75" s="142"/>
      <c r="CD75" s="142"/>
      <c r="CE75" s="142"/>
    </row>
    <row r="76" spans="1:88" ht="19" customHeight="1">
      <c r="C76" s="146"/>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6"/>
      <c r="AL76" s="146"/>
      <c r="AM76" s="146"/>
      <c r="AN76" s="146"/>
      <c r="AO76" s="146"/>
      <c r="AP76" s="146"/>
      <c r="AQ76" s="146"/>
      <c r="AR76" s="146"/>
      <c r="AS76" s="146"/>
      <c r="AT76" s="146"/>
      <c r="AU76" s="146"/>
      <c r="AV76" s="146"/>
      <c r="AW76" s="146"/>
      <c r="AX76" s="146"/>
      <c r="AY76" s="146"/>
      <c r="AZ76" s="146"/>
      <c r="BA76" s="146"/>
      <c r="BB76" s="146"/>
      <c r="BU76" s="238">
        <v>25000001</v>
      </c>
      <c r="BV76" s="239"/>
      <c r="BW76" s="240">
        <v>0</v>
      </c>
      <c r="BX76" s="146"/>
      <c r="BY76" s="142"/>
      <c r="BZ76" s="142"/>
      <c r="CA76" s="142"/>
      <c r="CB76" s="142"/>
      <c r="CC76" s="142"/>
      <c r="CD76" s="142"/>
      <c r="CE76" s="142"/>
    </row>
    <row r="77" spans="1:88" ht="19" customHeight="1">
      <c r="AM77" s="146"/>
      <c r="AN77" s="146"/>
      <c r="AO77" s="146"/>
      <c r="AP77" s="146"/>
      <c r="AQ77" s="146"/>
      <c r="AR77" s="146"/>
      <c r="AS77" s="146"/>
      <c r="AT77" s="146"/>
      <c r="AU77" s="146"/>
      <c r="AV77" s="146"/>
      <c r="AW77" s="146"/>
      <c r="AX77" s="146"/>
      <c r="AY77" s="146"/>
      <c r="AZ77" s="146"/>
      <c r="BA77" s="146"/>
    </row>
    <row r="80" spans="1:88" ht="19" customHeight="1">
      <c r="CD80" s="142"/>
      <c r="CE80" s="142"/>
      <c r="CF80" s="142"/>
      <c r="CG80" s="142"/>
      <c r="CI80" s="143"/>
      <c r="CJ80" s="143"/>
    </row>
    <row r="81" spans="82:92" ht="19" customHeight="1">
      <c r="CD81" s="142"/>
      <c r="CE81" s="142"/>
      <c r="CF81" s="142"/>
      <c r="CG81" s="142"/>
      <c r="CI81" s="143"/>
      <c r="CJ81" s="143"/>
    </row>
    <row r="82" spans="82:92" ht="19" customHeight="1">
      <c r="CD82" s="142"/>
      <c r="CE82" s="142"/>
      <c r="CF82" s="142"/>
      <c r="CG82" s="142"/>
      <c r="CI82" s="143"/>
      <c r="CJ82" s="143"/>
    </row>
    <row r="83" spans="82:92" ht="19" customHeight="1">
      <c r="CD83" s="142"/>
      <c r="CE83" s="142"/>
      <c r="CF83" s="142"/>
      <c r="CG83" s="142"/>
      <c r="CI83" s="143"/>
      <c r="CJ83" s="143"/>
    </row>
    <row r="84" spans="82:92" ht="19" customHeight="1">
      <c r="CD84" s="142"/>
      <c r="CE84" s="142"/>
      <c r="CF84" s="142"/>
      <c r="CG84" s="142"/>
      <c r="CI84" s="143"/>
      <c r="CJ84" s="143"/>
    </row>
    <row r="85" spans="82:92" ht="19" customHeight="1">
      <c r="CD85" s="142"/>
      <c r="CE85" s="142"/>
      <c r="CF85" s="142"/>
      <c r="CG85" s="142"/>
      <c r="CI85" s="143"/>
      <c r="CJ85" s="143"/>
    </row>
    <row r="86" spans="82:92" ht="19" customHeight="1">
      <c r="CD86" s="142"/>
      <c r="CE86" s="142"/>
      <c r="CF86" s="142"/>
      <c r="CG86" s="142"/>
      <c r="CI86" s="143"/>
      <c r="CJ86" s="143"/>
    </row>
    <row r="87" spans="82:92" ht="19" customHeight="1">
      <c r="CD87" s="142"/>
      <c r="CE87" s="142"/>
      <c r="CF87" s="142"/>
      <c r="CG87" s="142"/>
      <c r="CI87" s="143"/>
      <c r="CJ87" s="143"/>
    </row>
    <row r="90" spans="82:92" ht="19" customHeight="1">
      <c r="CH90" s="146"/>
      <c r="CI90" s="146"/>
      <c r="CJ90" s="146"/>
      <c r="CK90" s="146"/>
      <c r="CL90" s="146"/>
      <c r="CM90" s="146"/>
      <c r="CN90" s="146"/>
    </row>
    <row r="91" spans="82:92" ht="19" customHeight="1">
      <c r="CH91" s="146"/>
      <c r="CI91" s="146"/>
      <c r="CJ91" s="146"/>
      <c r="CK91" s="146"/>
      <c r="CL91" s="146"/>
      <c r="CM91" s="146"/>
      <c r="CN91" s="146"/>
    </row>
    <row r="92" spans="82:92" ht="19" customHeight="1">
      <c r="CH92" s="146"/>
      <c r="CI92" s="146"/>
      <c r="CJ92" s="146"/>
      <c r="CK92" s="146"/>
      <c r="CL92" s="146"/>
      <c r="CM92" s="146"/>
      <c r="CN92" s="146"/>
    </row>
    <row r="93" spans="82:92" ht="19" customHeight="1">
      <c r="CD93" s="142"/>
      <c r="CE93" s="164"/>
      <c r="CF93" s="142"/>
      <c r="CH93" s="168"/>
      <c r="CI93" s="168"/>
      <c r="CJ93" s="168"/>
      <c r="CK93" s="168"/>
      <c r="CL93" s="168"/>
      <c r="CM93" s="168"/>
      <c r="CN93" s="168"/>
    </row>
    <row r="94" spans="82:92" ht="19" customHeight="1">
      <c r="CD94" s="146"/>
      <c r="CE94" s="162"/>
      <c r="CF94" s="146"/>
      <c r="CH94" s="146"/>
      <c r="CI94" s="146"/>
      <c r="CJ94" s="146"/>
      <c r="CK94" s="146"/>
      <c r="CL94" s="146"/>
      <c r="CM94" s="146"/>
      <c r="CN94" s="146"/>
    </row>
    <row r="95" spans="82:92" ht="19" customHeight="1">
      <c r="CD95" s="146"/>
      <c r="CE95" s="162"/>
      <c r="CF95" s="146"/>
      <c r="CH95" s="146"/>
      <c r="CI95" s="146"/>
      <c r="CJ95" s="146"/>
      <c r="CK95" s="146"/>
      <c r="CL95" s="146"/>
      <c r="CM95" s="146"/>
      <c r="CN95" s="146"/>
    </row>
    <row r="96" spans="82:92" ht="19" customHeight="1">
      <c r="CD96" s="146"/>
      <c r="CE96" s="162"/>
      <c r="CF96" s="146"/>
      <c r="CH96" s="146"/>
      <c r="CI96" s="146"/>
      <c r="CJ96" s="146"/>
      <c r="CK96" s="146"/>
      <c r="CL96" s="146"/>
      <c r="CM96" s="146"/>
      <c r="CN96" s="146"/>
    </row>
    <row r="97" spans="82:92" ht="19" customHeight="1">
      <c r="CD97" s="146"/>
      <c r="CE97" s="162"/>
      <c r="CF97" s="146"/>
      <c r="CH97" s="146"/>
      <c r="CI97" s="146"/>
      <c r="CJ97" s="146"/>
      <c r="CK97" s="146"/>
      <c r="CL97" s="146"/>
      <c r="CM97" s="146"/>
      <c r="CN97" s="146"/>
    </row>
    <row r="98" spans="82:92" ht="19" customHeight="1">
      <c r="CD98" s="146"/>
      <c r="CE98" s="162"/>
      <c r="CF98" s="146"/>
      <c r="CH98" s="146"/>
      <c r="CI98" s="146"/>
      <c r="CJ98" s="146"/>
      <c r="CK98" s="146"/>
      <c r="CL98" s="146"/>
      <c r="CM98" s="146"/>
      <c r="CN98" s="146"/>
    </row>
    <row r="99" spans="82:92" ht="19" customHeight="1">
      <c r="CD99" s="146"/>
      <c r="CE99" s="162"/>
      <c r="CF99" s="146"/>
      <c r="CH99" s="146"/>
      <c r="CI99" s="146"/>
      <c r="CJ99" s="146"/>
      <c r="CK99" s="146"/>
      <c r="CL99" s="146"/>
      <c r="CM99" s="146"/>
      <c r="CN99" s="146"/>
    </row>
    <row r="100" spans="82:92" ht="19" customHeight="1">
      <c r="CD100" s="146"/>
      <c r="CE100" s="162"/>
      <c r="CF100" s="146"/>
      <c r="CH100" s="146"/>
      <c r="CI100" s="146"/>
      <c r="CJ100" s="146"/>
      <c r="CK100" s="146"/>
      <c r="CL100" s="146"/>
      <c r="CM100" s="146"/>
      <c r="CN100" s="146"/>
    </row>
    <row r="101" spans="82:92" ht="19" customHeight="1">
      <c r="CD101" s="142"/>
      <c r="CE101" s="164"/>
      <c r="CF101" s="142"/>
    </row>
  </sheetData>
  <sheetProtection algorithmName="SHA-512" hashValue="C0cIFe3Q9oBlgmV9lI6MYVMq45j60m2b3Bcropmo2vWatW7pYCOQzGDlFivlgj0sP+4z62mtm5gmIEVJyNf0RA==" saltValue="RfoaEZtA7kUpXBQfOlGFhQ==" spinCount="100000" sheet="1"/>
  <mergeCells count="190">
    <mergeCell ref="AD43:AL43"/>
    <mergeCell ref="AD44:AL44"/>
    <mergeCell ref="BX29:BX30"/>
    <mergeCell ref="BZ29:BZ30"/>
    <mergeCell ref="CA29:CA30"/>
    <mergeCell ref="AP25:AT25"/>
    <mergeCell ref="AU25:BC25"/>
    <mergeCell ref="AP26:AT26"/>
    <mergeCell ref="AU26:BC26"/>
    <mergeCell ref="AJ26:AO26"/>
    <mergeCell ref="AP27:AT27"/>
    <mergeCell ref="AU27:BC27"/>
    <mergeCell ref="BU29:BU30"/>
    <mergeCell ref="BW29:BW30"/>
    <mergeCell ref="BM29:BM30"/>
    <mergeCell ref="BN29:BN30"/>
    <mergeCell ref="BS29:BS30"/>
    <mergeCell ref="BT29:BT30"/>
    <mergeCell ref="B29:BC29"/>
    <mergeCell ref="BV29:BV30"/>
    <mergeCell ref="AM39:AU39"/>
    <mergeCell ref="AM40:AU40"/>
    <mergeCell ref="AM41:AU41"/>
    <mergeCell ref="AM42:AU42"/>
    <mergeCell ref="AD40:AL40"/>
    <mergeCell ref="AD41:AL41"/>
    <mergeCell ref="B28:BC28"/>
    <mergeCell ref="B27:F27"/>
    <mergeCell ref="AD42:AL42"/>
    <mergeCell ref="G27:M27"/>
    <mergeCell ref="N27:U27"/>
    <mergeCell ref="V27:AB27"/>
    <mergeCell ref="AC27:AI27"/>
    <mergeCell ref="BX63:CE63"/>
    <mergeCell ref="BG36:BH36"/>
    <mergeCell ref="BG37:BH37"/>
    <mergeCell ref="BG34:BH35"/>
    <mergeCell ref="BX55:CE55"/>
    <mergeCell ref="C47:I47"/>
    <mergeCell ref="W47:AC47"/>
    <mergeCell ref="C52:I52"/>
    <mergeCell ref="C54:I54"/>
    <mergeCell ref="L43:T43"/>
    <mergeCell ref="L44:T44"/>
    <mergeCell ref="U39:AC39"/>
    <mergeCell ref="U40:AC40"/>
    <mergeCell ref="U41:AC41"/>
    <mergeCell ref="U42:AC42"/>
    <mergeCell ref="U43:AC43"/>
    <mergeCell ref="U44:AC44"/>
    <mergeCell ref="B37:K38"/>
    <mergeCell ref="L37:T38"/>
    <mergeCell ref="L39:T39"/>
    <mergeCell ref="L40:T40"/>
    <mergeCell ref="L41:T41"/>
    <mergeCell ref="L42:T42"/>
    <mergeCell ref="AM43:AU43"/>
    <mergeCell ref="B43:K43"/>
    <mergeCell ref="B24:F24"/>
    <mergeCell ref="G24:M24"/>
    <mergeCell ref="N24:U24"/>
    <mergeCell ref="V24:AB24"/>
    <mergeCell ref="AC24:AI24"/>
    <mergeCell ref="AJ24:AO24"/>
    <mergeCell ref="AP24:AT24"/>
    <mergeCell ref="AU24:BC24"/>
    <mergeCell ref="AJ27:AO27"/>
    <mergeCell ref="B42:K42"/>
    <mergeCell ref="B25:F25"/>
    <mergeCell ref="G25:M25"/>
    <mergeCell ref="N25:U25"/>
    <mergeCell ref="V25:AB25"/>
    <mergeCell ref="AC25:AI25"/>
    <mergeCell ref="AJ25:AO25"/>
    <mergeCell ref="B39:K39"/>
    <mergeCell ref="B40:K40"/>
    <mergeCell ref="B41:K41"/>
    <mergeCell ref="U37:AC38"/>
    <mergeCell ref="AD37:AL37"/>
    <mergeCell ref="AD38:AL38"/>
    <mergeCell ref="AD39:AL39"/>
    <mergeCell ref="BO16:BO19"/>
    <mergeCell ref="BP16:BP19"/>
    <mergeCell ref="B23:F23"/>
    <mergeCell ref="G23:M23"/>
    <mergeCell ref="N23:U23"/>
    <mergeCell ref="V23:AB23"/>
    <mergeCell ref="AC23:AI23"/>
    <mergeCell ref="AJ23:AO23"/>
    <mergeCell ref="AP23:AT23"/>
    <mergeCell ref="AU23:BC23"/>
    <mergeCell ref="AU22:BC22"/>
    <mergeCell ref="B16:F19"/>
    <mergeCell ref="AJ16:AO19"/>
    <mergeCell ref="AP16:AT19"/>
    <mergeCell ref="AU16:BC19"/>
    <mergeCell ref="B21:F21"/>
    <mergeCell ref="G21:M21"/>
    <mergeCell ref="N21:U21"/>
    <mergeCell ref="V21:AB21"/>
    <mergeCell ref="AC21:AI21"/>
    <mergeCell ref="AJ21:AO21"/>
    <mergeCell ref="B20:F20"/>
    <mergeCell ref="G20:M20"/>
    <mergeCell ref="N20:U20"/>
    <mergeCell ref="V20:AB20"/>
    <mergeCell ref="AC20:AI20"/>
    <mergeCell ref="AJ20:AO20"/>
    <mergeCell ref="BV16:BV19"/>
    <mergeCell ref="AP20:AT20"/>
    <mergeCell ref="AU20:BC20"/>
    <mergeCell ref="B22:F22"/>
    <mergeCell ref="G22:M22"/>
    <mergeCell ref="AP21:AT21"/>
    <mergeCell ref="AU21:BC21"/>
    <mergeCell ref="A1:BC2"/>
    <mergeCell ref="A4:BC4"/>
    <mergeCell ref="BS4:BS5"/>
    <mergeCell ref="BT4:BU4"/>
    <mergeCell ref="BV4:BW4"/>
    <mergeCell ref="BR16:BR19"/>
    <mergeCell ref="BS16:BS19"/>
    <mergeCell ref="BT16:BT19"/>
    <mergeCell ref="BU16:BU19"/>
    <mergeCell ref="BW16:BW19"/>
    <mergeCell ref="BK16:BK19"/>
    <mergeCell ref="BL16:BL19"/>
    <mergeCell ref="BM16:BM19"/>
    <mergeCell ref="BN16:BN19"/>
    <mergeCell ref="C13:I13"/>
    <mergeCell ref="A15:BC15"/>
    <mergeCell ref="BQ16:BQ19"/>
    <mergeCell ref="BX4:BY4"/>
    <mergeCell ref="A5:BC5"/>
    <mergeCell ref="B7:C7"/>
    <mergeCell ref="BX39:CE39"/>
    <mergeCell ref="A12:BC12"/>
    <mergeCell ref="BF16:BF19"/>
    <mergeCell ref="BG16:BG19"/>
    <mergeCell ref="BH16:BH19"/>
    <mergeCell ref="BI16:BI19"/>
    <mergeCell ref="BJ16:BJ19"/>
    <mergeCell ref="A6:BC6"/>
    <mergeCell ref="A9:X9"/>
    <mergeCell ref="C10:I10"/>
    <mergeCell ref="W10:AC10"/>
    <mergeCell ref="CA16:CA19"/>
    <mergeCell ref="G16:M19"/>
    <mergeCell ref="N16:U19"/>
    <mergeCell ref="V16:AB19"/>
    <mergeCell ref="AC16:AI19"/>
    <mergeCell ref="BZ4:CB4"/>
    <mergeCell ref="BI34:BL34"/>
    <mergeCell ref="BM34:BP34"/>
    <mergeCell ref="CC16:CC19"/>
    <mergeCell ref="CD16:CD19"/>
    <mergeCell ref="CE16:CE19"/>
    <mergeCell ref="CC29:CC30"/>
    <mergeCell ref="CD29:CD30"/>
    <mergeCell ref="CE29:CE30"/>
    <mergeCell ref="BY16:BY19"/>
    <mergeCell ref="CB16:CB19"/>
    <mergeCell ref="BY29:BY30"/>
    <mergeCell ref="CB29:CB30"/>
    <mergeCell ref="BX16:BX19"/>
    <mergeCell ref="BZ16:BZ19"/>
    <mergeCell ref="AM44:AU44"/>
    <mergeCell ref="AM37:AU38"/>
    <mergeCell ref="CF16:CF19"/>
    <mergeCell ref="CG16:CG19"/>
    <mergeCell ref="CF29:CF30"/>
    <mergeCell ref="CG29:CG30"/>
    <mergeCell ref="BG41:BH41"/>
    <mergeCell ref="BG38:BH38"/>
    <mergeCell ref="BG39:BH39"/>
    <mergeCell ref="BG40:BH40"/>
    <mergeCell ref="B31:BC31"/>
    <mergeCell ref="B32:BC32"/>
    <mergeCell ref="D33:BC33"/>
    <mergeCell ref="B44:K44"/>
    <mergeCell ref="B26:F26"/>
    <mergeCell ref="G26:M26"/>
    <mergeCell ref="N26:U26"/>
    <mergeCell ref="V26:AB26"/>
    <mergeCell ref="AC26:AI26"/>
    <mergeCell ref="N22:U22"/>
    <mergeCell ref="V22:AB22"/>
    <mergeCell ref="AC22:AI22"/>
    <mergeCell ref="AJ22:AO22"/>
    <mergeCell ref="AP22:AT22"/>
  </mergeCells>
  <phoneticPr fontId="1"/>
  <dataValidations count="9">
    <dataValidation imeMode="off" allowBlank="1" showInputMessage="1" showErrorMessage="1" sqref="BG2:BR9 C8 N20:AI27 A1 BD1:BD8 A3:B8 D3:BC8 C3:C6 BS3:BY13 A12:BC12 CO2:CO9 BU38:CE42 BG1:CO1 BZ2:BZ9 CC2:CC9 CA2:CB3 CA5:CB9" xr:uid="{7C0B3209-1EB3-0847-9D3F-075F85794497}"/>
    <dataValidation type="list" allowBlank="1" showInputMessage="1" showErrorMessage="1" error="選択してください。" sqref="AJ20:AO27" xr:uid="{E0CB04EC-C79E-EF40-8B42-5C92BF04B2D5}">
      <formula1>"非自発的失業"</formula1>
    </dataValidation>
    <dataValidation type="list" allowBlank="1" showInputMessage="1" showErrorMessage="1" error="年齢区分を選択してください。" sqref="G20:M27" xr:uid="{BC2B31C8-7B0D-4C46-A73F-686E0BEC2B7F}">
      <formula1>"未就学児,6歳～17歳,18歳～39歳,40歳～64歳,65歳～74歳"</formula1>
    </dataValidation>
    <dataValidation type="list" allowBlank="1" showInputMessage="1" showErrorMessage="1" error="選択してください。" sqref="AP20:AT20" xr:uid="{8FE055F6-919D-5B4C-AE6D-5480819D84D7}">
      <formula1>"擬制世帯主"</formula1>
    </dataValidation>
    <dataValidation type="list" allowBlank="1" showInputMessage="1" showErrorMessage="1" error="加入期間を選択してください。" sqref="C13:I13" xr:uid="{F9009FC8-F914-614B-B7F9-DC33E6495941}">
      <formula1>"1カ月,2カ月,3カ月,4カ月,5カ月,6カ月,7カ月,8カ月,9カ月,10カ月,11カ月,12カ月"</formula1>
    </dataValidation>
    <dataValidation allowBlank="1" showInputMessage="1" showErrorMessage="1" error="選択してください。" sqref="AP21:AT27" xr:uid="{99D855E8-A734-EB48-B208-13D69CB87B50}"/>
    <dataValidation type="list" allowBlank="1" showInputMessage="1" showErrorMessage="1" error="選択してください。" sqref="AU20:BC27" xr:uid="{B83A240C-91BA-CF4D-9E94-0840C2F936EC}">
      <formula1>"所得金額調整控除該当"</formula1>
    </dataValidation>
    <dataValidation type="list" allowBlank="1" showInputMessage="1" showErrorMessage="1" error="加入期間を選択してください。" sqref="K14:O14" xr:uid="{0C3E7D01-4DA8-264A-9804-36C12D996EC8}">
      <formula1>#REF!</formula1>
    </dataValidation>
    <dataValidation allowBlank="1" showInputMessage="1" showErrorMessage="1" error="整数を入力してください。_x000a_マイナスの場合は、0を入力してください。" sqref="BG20:BJ27" xr:uid="{D9D1A284-0A01-3F41-8604-23B373F6A587}"/>
  </dataValidations>
  <printOptions horizontalCentered="1"/>
  <pageMargins left="0.70866141732283472" right="0.70866141732283472" top="0.74803149606299213" bottom="0.74803149606299213" header="0.31496062992125984" footer="0.31496062992125984"/>
  <pageSetup paperSize="9" scale="4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5F385-B7A7-D940-90CA-476C13CF56FA}">
  <sheetPr>
    <pageSetUpPr fitToPage="1"/>
  </sheetPr>
  <dimension ref="A1:DC77"/>
  <sheetViews>
    <sheetView showGridLines="0" topLeftCell="A10" zoomScale="60" zoomScaleNormal="60" zoomScaleSheetLayoutView="55" workbookViewId="0">
      <selection activeCell="AB75" sqref="AB75"/>
    </sheetView>
  </sheetViews>
  <sheetFormatPr defaultColWidth="3.08203125" defaultRowHeight="19" customHeight="1"/>
  <cols>
    <col min="1" max="1" width="3.08203125" style="1"/>
    <col min="2" max="44" width="3" style="1" customWidth="1"/>
    <col min="45" max="46" width="3.58203125" style="1" customWidth="1"/>
    <col min="47" max="55" width="2.58203125" style="1" customWidth="1"/>
    <col min="56" max="56" width="3" style="1" customWidth="1"/>
    <col min="57" max="57" width="3" style="2" customWidth="1"/>
    <col min="58" max="58" width="4.08203125" style="1" customWidth="1"/>
    <col min="59" max="59" width="28.08203125" style="4" customWidth="1"/>
    <col min="60" max="60" width="17.5" style="4" customWidth="1"/>
    <col min="61" max="66" width="20.58203125" style="4" customWidth="1"/>
    <col min="67" max="68" width="27.5" style="4" customWidth="1"/>
    <col min="69" max="69" width="26.83203125" style="4" customWidth="1"/>
    <col min="70" max="70" width="14.58203125" style="4" customWidth="1"/>
    <col min="71" max="71" width="21.58203125" style="4" customWidth="1"/>
    <col min="72" max="77" width="17.5" style="4" customWidth="1"/>
    <col min="78" max="78" width="2.58203125" style="4" customWidth="1"/>
    <col min="79" max="79" width="27.08203125" style="4" customWidth="1"/>
    <col min="80" max="80" width="7.08203125" style="5" customWidth="1"/>
    <col min="81" max="81" width="17.5" style="4" customWidth="1"/>
    <col min="82" max="82" width="27.08203125" style="3" customWidth="1"/>
    <col min="83" max="89" width="21.58203125" style="1" customWidth="1"/>
    <col min="90" max="90" width="3.08203125" style="2" customWidth="1"/>
    <col min="91" max="16384" width="3.08203125" style="1"/>
  </cols>
  <sheetData>
    <row r="1" spans="1:89" ht="19" customHeight="1">
      <c r="A1" s="460" t="s">
        <v>124</v>
      </c>
      <c r="B1" s="460"/>
      <c r="C1" s="460"/>
      <c r="D1" s="460"/>
      <c r="E1" s="460"/>
      <c r="F1" s="460"/>
      <c r="G1" s="460"/>
      <c r="H1" s="460"/>
      <c r="I1" s="460"/>
      <c r="J1" s="460"/>
      <c r="K1" s="460"/>
      <c r="L1" s="460"/>
      <c r="M1" s="460"/>
      <c r="N1" s="460"/>
      <c r="O1" s="460"/>
      <c r="P1" s="460"/>
      <c r="Q1" s="460"/>
      <c r="R1" s="460"/>
      <c r="S1" s="460"/>
      <c r="T1" s="460"/>
      <c r="U1" s="460"/>
      <c r="V1" s="460"/>
      <c r="W1" s="460"/>
      <c r="X1" s="460"/>
      <c r="Y1" s="460"/>
      <c r="Z1" s="460"/>
      <c r="AA1" s="460"/>
      <c r="AB1" s="460"/>
      <c r="AC1" s="460"/>
      <c r="AD1" s="460"/>
      <c r="AE1" s="460"/>
      <c r="AF1" s="460"/>
      <c r="AG1" s="460"/>
      <c r="AH1" s="460"/>
      <c r="AI1" s="460"/>
      <c r="AJ1" s="460"/>
      <c r="AK1" s="460"/>
      <c r="AL1" s="460"/>
      <c r="AM1" s="460"/>
      <c r="AN1" s="460"/>
      <c r="AO1" s="460"/>
      <c r="AP1" s="460"/>
      <c r="AQ1" s="460"/>
      <c r="AR1" s="460"/>
      <c r="AS1" s="460"/>
      <c r="AT1" s="460"/>
      <c r="AU1" s="460"/>
      <c r="AV1" s="460"/>
      <c r="AW1" s="460"/>
      <c r="AX1" s="460"/>
      <c r="AY1" s="460"/>
      <c r="AZ1" s="460"/>
      <c r="BA1" s="460"/>
      <c r="BB1" s="460"/>
      <c r="BC1" s="460"/>
      <c r="BF1" s="2"/>
      <c r="BG1" s="117"/>
      <c r="BH1" s="117"/>
      <c r="BI1" s="117"/>
      <c r="BJ1" s="117"/>
      <c r="BK1" s="117"/>
      <c r="BL1" s="117"/>
      <c r="BM1" s="117"/>
      <c r="BN1" s="117"/>
      <c r="BO1" s="117"/>
      <c r="BP1" s="117"/>
      <c r="BQ1" s="117"/>
      <c r="BR1" s="117"/>
      <c r="BS1" s="117"/>
      <c r="BT1" s="117"/>
      <c r="BU1" s="117"/>
      <c r="BV1" s="117"/>
      <c r="BW1" s="117"/>
      <c r="BX1" s="117"/>
      <c r="BY1" s="117"/>
      <c r="BZ1" s="117"/>
      <c r="CA1" s="117"/>
      <c r="CB1" s="118"/>
      <c r="CC1" s="117"/>
      <c r="CD1" s="7"/>
      <c r="CE1" s="2"/>
      <c r="CF1" s="2"/>
      <c r="CG1" s="2"/>
      <c r="CH1" s="2"/>
      <c r="CI1" s="2"/>
      <c r="CJ1" s="2"/>
      <c r="CK1" s="2"/>
    </row>
    <row r="2" spans="1:89" ht="19" customHeight="1">
      <c r="A2" s="460"/>
      <c r="B2" s="460"/>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c r="AG2" s="460"/>
      <c r="AH2" s="460"/>
      <c r="AI2" s="460"/>
      <c r="AJ2" s="460"/>
      <c r="AK2" s="460"/>
      <c r="AL2" s="460"/>
      <c r="AM2" s="460"/>
      <c r="AN2" s="460"/>
      <c r="AO2" s="460"/>
      <c r="AP2" s="460"/>
      <c r="AQ2" s="460"/>
      <c r="AR2" s="460"/>
      <c r="AS2" s="460"/>
      <c r="AT2" s="460"/>
      <c r="AU2" s="460"/>
      <c r="AV2" s="460"/>
      <c r="AW2" s="460"/>
      <c r="AX2" s="460"/>
      <c r="AY2" s="460"/>
      <c r="AZ2" s="460"/>
      <c r="BA2" s="460"/>
      <c r="BB2" s="460"/>
      <c r="BC2" s="460"/>
    </row>
    <row r="3" spans="1:89" ht="24.75" customHeight="1">
      <c r="B3" s="12"/>
      <c r="C3" s="12"/>
      <c r="D3" s="12"/>
      <c r="E3" s="12"/>
      <c r="F3" s="12"/>
      <c r="BS3" s="116" t="s">
        <v>123</v>
      </c>
      <c r="BT3" s="110"/>
      <c r="BU3" s="110"/>
      <c r="BV3" s="110"/>
      <c r="BW3" s="110"/>
      <c r="BX3" s="110"/>
      <c r="BY3" s="110"/>
    </row>
    <row r="4" spans="1:89" ht="24.75" customHeight="1">
      <c r="A4" s="423" t="s">
        <v>122</v>
      </c>
      <c r="B4" s="423"/>
      <c r="C4" s="423"/>
      <c r="D4" s="423"/>
      <c r="E4" s="423"/>
      <c r="F4" s="423"/>
      <c r="G4" s="423"/>
      <c r="H4" s="423"/>
      <c r="I4" s="423"/>
      <c r="J4" s="423"/>
      <c r="K4" s="423"/>
      <c r="L4" s="423"/>
      <c r="M4" s="423"/>
      <c r="N4" s="423"/>
      <c r="O4" s="423"/>
      <c r="P4" s="423"/>
      <c r="Q4" s="423"/>
      <c r="R4" s="423"/>
      <c r="S4" s="423"/>
      <c r="T4" s="423"/>
      <c r="U4" s="423"/>
      <c r="V4" s="423"/>
      <c r="W4" s="423"/>
      <c r="X4" s="423"/>
      <c r="Y4" s="423"/>
      <c r="Z4" s="423"/>
      <c r="AA4" s="423"/>
      <c r="AB4" s="423"/>
      <c r="AC4" s="423"/>
      <c r="AD4" s="423"/>
      <c r="AE4" s="423"/>
      <c r="AF4" s="423"/>
      <c r="AG4" s="423"/>
      <c r="AH4" s="423"/>
      <c r="AI4" s="423"/>
      <c r="AJ4" s="423"/>
      <c r="AK4" s="423"/>
      <c r="AL4" s="423"/>
      <c r="AM4" s="423"/>
      <c r="AN4" s="423"/>
      <c r="AO4" s="423"/>
      <c r="AP4" s="423"/>
      <c r="AQ4" s="423"/>
      <c r="AR4" s="423"/>
      <c r="AS4" s="423"/>
      <c r="AT4" s="423"/>
      <c r="AU4" s="423"/>
      <c r="AV4" s="423"/>
      <c r="AW4" s="423"/>
      <c r="AX4" s="423"/>
      <c r="AY4" s="423"/>
      <c r="AZ4" s="423"/>
      <c r="BA4" s="423"/>
      <c r="BB4" s="423"/>
      <c r="BC4" s="423"/>
      <c r="BS4" s="459"/>
      <c r="BT4" s="459" t="s">
        <v>41</v>
      </c>
      <c r="BU4" s="459"/>
      <c r="BV4" s="459" t="s">
        <v>121</v>
      </c>
      <c r="BW4" s="459"/>
      <c r="BX4" s="459" t="s">
        <v>39</v>
      </c>
      <c r="BY4" s="459"/>
    </row>
    <row r="5" spans="1:89" ht="24.75" customHeight="1">
      <c r="A5" s="423" t="s">
        <v>120</v>
      </c>
      <c r="B5" s="423"/>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c r="AO5" s="423"/>
      <c r="AP5" s="423"/>
      <c r="AQ5" s="423"/>
      <c r="AR5" s="423"/>
      <c r="AS5" s="423"/>
      <c r="AT5" s="423"/>
      <c r="AU5" s="423"/>
      <c r="AV5" s="423"/>
      <c r="AW5" s="423"/>
      <c r="AX5" s="423"/>
      <c r="AY5" s="423"/>
      <c r="AZ5" s="423"/>
      <c r="BA5" s="423"/>
      <c r="BB5" s="423"/>
      <c r="BC5" s="423"/>
      <c r="BS5" s="459"/>
      <c r="BT5" s="113" t="s">
        <v>119</v>
      </c>
      <c r="BU5" s="113" t="s">
        <v>118</v>
      </c>
      <c r="BV5" s="113" t="s">
        <v>119</v>
      </c>
      <c r="BW5" s="113" t="s">
        <v>118</v>
      </c>
      <c r="BX5" s="113" t="s">
        <v>119</v>
      </c>
      <c r="BY5" s="113" t="s">
        <v>118</v>
      </c>
    </row>
    <row r="6" spans="1:89" ht="24.75" customHeight="1">
      <c r="A6" s="423" t="s">
        <v>117</v>
      </c>
      <c r="B6" s="423"/>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c r="AO6" s="423"/>
      <c r="AP6" s="423"/>
      <c r="AQ6" s="423"/>
      <c r="AR6" s="423"/>
      <c r="AS6" s="423"/>
      <c r="AT6" s="423"/>
      <c r="AU6" s="423"/>
      <c r="AV6" s="423"/>
      <c r="AW6" s="423"/>
      <c r="AX6" s="423"/>
      <c r="AY6" s="423"/>
      <c r="AZ6" s="423"/>
      <c r="BA6" s="423"/>
      <c r="BB6" s="423"/>
      <c r="BC6" s="423"/>
      <c r="BS6" s="113" t="s">
        <v>116</v>
      </c>
      <c r="BT6" s="115">
        <v>7.51E-2</v>
      </c>
      <c r="BU6" s="112">
        <v>29500</v>
      </c>
      <c r="BV6" s="115">
        <v>2.24E-2</v>
      </c>
      <c r="BW6" s="112">
        <v>9100</v>
      </c>
      <c r="BX6" s="115">
        <v>2.1000000000000001E-2</v>
      </c>
      <c r="BY6" s="112">
        <v>10200</v>
      </c>
    </row>
    <row r="7" spans="1:89" ht="24.75" customHeight="1">
      <c r="A7" s="423" t="s">
        <v>115</v>
      </c>
      <c r="B7" s="423"/>
      <c r="C7" s="423"/>
      <c r="D7" s="423"/>
      <c r="E7" s="423"/>
      <c r="F7" s="423"/>
      <c r="G7" s="423"/>
      <c r="H7" s="423"/>
      <c r="I7" s="423"/>
      <c r="J7" s="423"/>
      <c r="K7" s="423"/>
      <c r="L7" s="423"/>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N7" s="423"/>
      <c r="AO7" s="423"/>
      <c r="AP7" s="423"/>
      <c r="AQ7" s="423"/>
      <c r="AR7" s="423"/>
      <c r="AS7" s="423"/>
      <c r="AT7" s="423"/>
      <c r="AU7" s="423"/>
      <c r="AV7" s="423"/>
      <c r="AW7" s="423"/>
      <c r="AX7" s="423"/>
      <c r="AY7" s="423"/>
      <c r="AZ7" s="423"/>
      <c r="BA7" s="423"/>
      <c r="BB7" s="423"/>
      <c r="BC7" s="423"/>
      <c r="BS7" s="113" t="s">
        <v>114</v>
      </c>
      <c r="BT7" s="114"/>
      <c r="BU7" s="112">
        <v>630000</v>
      </c>
      <c r="BV7" s="114"/>
      <c r="BW7" s="112">
        <v>190000</v>
      </c>
      <c r="BX7" s="114"/>
      <c r="BY7" s="112">
        <v>170000</v>
      </c>
    </row>
    <row r="8" spans="1:89" ht="24.75" customHeight="1">
      <c r="BS8" s="110"/>
      <c r="BT8" s="110"/>
      <c r="BU8" s="110"/>
      <c r="BV8" s="110"/>
      <c r="BW8" s="110"/>
      <c r="BX8" s="110"/>
      <c r="BY8" s="110"/>
    </row>
    <row r="9" spans="1:89" ht="24.75" customHeight="1" thickBot="1">
      <c r="A9" s="458" t="s">
        <v>5</v>
      </c>
      <c r="B9" s="458"/>
      <c r="C9" s="458"/>
      <c r="D9" s="458"/>
      <c r="E9" s="458"/>
      <c r="F9" s="458"/>
      <c r="G9" s="458"/>
      <c r="H9" s="458"/>
      <c r="I9" s="458"/>
      <c r="J9" s="458"/>
      <c r="K9" s="458"/>
      <c r="L9" s="458"/>
      <c r="M9" s="458"/>
      <c r="N9" s="458"/>
      <c r="O9" s="458"/>
      <c r="P9" s="458"/>
      <c r="Q9" s="458"/>
      <c r="R9" s="458"/>
      <c r="S9" s="458"/>
      <c r="T9" s="458"/>
      <c r="U9" s="458"/>
      <c r="V9" s="458"/>
      <c r="W9" s="458"/>
      <c r="X9" s="458"/>
      <c r="BO9" s="19"/>
      <c r="BS9" s="113"/>
      <c r="BT9" s="113" t="s">
        <v>113</v>
      </c>
      <c r="BU9" s="113" t="s">
        <v>112</v>
      </c>
      <c r="BV9" s="113" t="s">
        <v>111</v>
      </c>
      <c r="BW9" s="110"/>
      <c r="BX9" s="110"/>
      <c r="BY9" s="110"/>
    </row>
    <row r="10" spans="1:89" ht="24.75" customHeight="1" thickBot="1">
      <c r="B10" s="12"/>
      <c r="C10" s="479">
        <f>IF($C$14="","",$L$44+$X$44+$AJ$44)</f>
        <v>0</v>
      </c>
      <c r="D10" s="480"/>
      <c r="E10" s="480"/>
      <c r="F10" s="480"/>
      <c r="G10" s="480"/>
      <c r="H10" s="480"/>
      <c r="I10" s="481"/>
      <c r="J10" s="12"/>
      <c r="K10" s="12"/>
      <c r="L10" s="12"/>
      <c r="M10" s="12"/>
      <c r="N10" s="21" t="s">
        <v>4</v>
      </c>
      <c r="O10" s="21"/>
      <c r="P10" s="21"/>
      <c r="Q10" s="20"/>
      <c r="R10" s="20"/>
      <c r="S10" s="20"/>
      <c r="T10" s="20"/>
      <c r="U10" s="20"/>
      <c r="V10" s="20"/>
      <c r="W10" s="400">
        <f>IF($C$14="","",INT($C$48/LEFT($C$14,LEN($C$14)-2)))</f>
        <v>0</v>
      </c>
      <c r="X10" s="400"/>
      <c r="Y10" s="400"/>
      <c r="Z10" s="400"/>
      <c r="AA10" s="400"/>
      <c r="AB10" s="400"/>
      <c r="AC10" s="400"/>
      <c r="BO10" s="65"/>
      <c r="BS10" s="113" t="s">
        <v>110</v>
      </c>
      <c r="BT10" s="112">
        <v>430000</v>
      </c>
      <c r="BU10" s="111">
        <v>285000</v>
      </c>
      <c r="BV10" s="111">
        <v>520000</v>
      </c>
      <c r="BW10" s="110"/>
      <c r="BX10" s="110"/>
      <c r="BY10" s="110"/>
    </row>
    <row r="11" spans="1:89" ht="24.75" customHeight="1">
      <c r="B11" s="10"/>
      <c r="C11" s="10"/>
      <c r="D11" s="10"/>
      <c r="E11" s="10"/>
      <c r="F11" s="10"/>
      <c r="G11" s="15"/>
      <c r="H11" s="15"/>
      <c r="I11" s="15"/>
      <c r="J11" s="15"/>
      <c r="K11" s="15"/>
      <c r="L11" s="15"/>
      <c r="M11" s="15"/>
      <c r="N11" s="15"/>
      <c r="O11" s="15"/>
      <c r="P11" s="15"/>
      <c r="Q11" s="15"/>
      <c r="R11" s="15"/>
      <c r="BR11" s="108"/>
      <c r="CD11" s="89"/>
      <c r="CE11" s="89"/>
    </row>
    <row r="12" spans="1:89" ht="8.25" customHeight="1">
      <c r="B12" s="3"/>
      <c r="C12" s="3"/>
      <c r="D12" s="3"/>
      <c r="E12" s="3"/>
      <c r="F12" s="3"/>
      <c r="BD12" s="8"/>
      <c r="BO12" s="109"/>
      <c r="BP12" s="19"/>
      <c r="BR12" s="108"/>
      <c r="CA12" s="4" t="s">
        <v>109</v>
      </c>
      <c r="CD12" s="461" t="s">
        <v>36</v>
      </c>
      <c r="CE12" s="461"/>
      <c r="CF12" s="461"/>
      <c r="CG12" s="461"/>
      <c r="CH12" s="461"/>
      <c r="CI12" s="461"/>
      <c r="CJ12" s="461"/>
      <c r="CK12" s="461"/>
    </row>
    <row r="13" spans="1:89" ht="24.75" customHeight="1">
      <c r="A13" s="423" t="s">
        <v>108</v>
      </c>
      <c r="B13" s="423"/>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3"/>
      <c r="AZ13" s="423"/>
      <c r="BA13" s="423"/>
      <c r="BB13" s="423"/>
      <c r="BC13" s="423"/>
      <c r="BD13" s="8"/>
      <c r="BE13" s="100"/>
      <c r="BF13" s="467" t="s">
        <v>107</v>
      </c>
      <c r="BG13" s="470" t="s">
        <v>106</v>
      </c>
      <c r="BH13" s="482" t="s">
        <v>105</v>
      </c>
      <c r="BI13" s="482" t="s">
        <v>104</v>
      </c>
      <c r="BJ13" s="482" t="s">
        <v>103</v>
      </c>
      <c r="BK13" s="470" t="s">
        <v>102</v>
      </c>
      <c r="BL13" s="470" t="s">
        <v>101</v>
      </c>
      <c r="BM13" s="470" t="s">
        <v>100</v>
      </c>
      <c r="BN13" s="470" t="s">
        <v>99</v>
      </c>
      <c r="BO13" s="470" t="s">
        <v>98</v>
      </c>
      <c r="BP13" s="470" t="s">
        <v>97</v>
      </c>
      <c r="BQ13" s="470" t="s">
        <v>96</v>
      </c>
      <c r="BR13" s="470" t="s">
        <v>95</v>
      </c>
      <c r="BS13" s="482" t="s">
        <v>94</v>
      </c>
      <c r="BT13" s="470" t="s">
        <v>93</v>
      </c>
      <c r="BU13" s="470" t="s">
        <v>92</v>
      </c>
      <c r="BV13" s="470" t="s">
        <v>91</v>
      </c>
      <c r="BW13" s="470" t="s">
        <v>90</v>
      </c>
      <c r="BX13" s="470" t="s">
        <v>89</v>
      </c>
      <c r="BY13" s="470" t="s">
        <v>88</v>
      </c>
      <c r="BZ13" s="107"/>
      <c r="CA13" s="82" t="s">
        <v>87</v>
      </c>
      <c r="CB13" s="464" t="s">
        <v>86</v>
      </c>
      <c r="CC13" s="465"/>
      <c r="CD13" s="106" t="s">
        <v>31</v>
      </c>
      <c r="CE13" s="106" t="s">
        <v>30</v>
      </c>
      <c r="CF13" s="106" t="s">
        <v>29</v>
      </c>
      <c r="CG13" s="106" t="s">
        <v>28</v>
      </c>
      <c r="CH13" s="106" t="s">
        <v>27</v>
      </c>
      <c r="CI13" s="106" t="s">
        <v>26</v>
      </c>
      <c r="CJ13" s="106" t="s">
        <v>25</v>
      </c>
      <c r="CK13" s="106" t="s">
        <v>24</v>
      </c>
    </row>
    <row r="14" spans="1:89" ht="24.75" customHeight="1">
      <c r="C14" s="434" t="s">
        <v>85</v>
      </c>
      <c r="D14" s="435"/>
      <c r="E14" s="435"/>
      <c r="F14" s="435"/>
      <c r="G14" s="435"/>
      <c r="H14" s="435"/>
      <c r="I14" s="436"/>
      <c r="BD14" s="8"/>
      <c r="BE14" s="100"/>
      <c r="BF14" s="467"/>
      <c r="BG14" s="471"/>
      <c r="BH14" s="471"/>
      <c r="BI14" s="471"/>
      <c r="BJ14" s="471"/>
      <c r="BK14" s="473"/>
      <c r="BL14" s="473"/>
      <c r="BM14" s="473"/>
      <c r="BN14" s="473"/>
      <c r="BO14" s="471"/>
      <c r="BP14" s="471"/>
      <c r="BQ14" s="473"/>
      <c r="BR14" s="471"/>
      <c r="BS14" s="471"/>
      <c r="BT14" s="471"/>
      <c r="BU14" s="471"/>
      <c r="BV14" s="471"/>
      <c r="BW14" s="471"/>
      <c r="BX14" s="471"/>
      <c r="BY14" s="471"/>
      <c r="BZ14" s="5"/>
      <c r="CA14" s="105">
        <v>0</v>
      </c>
      <c r="CB14" s="104"/>
      <c r="CC14" s="103">
        <v>0</v>
      </c>
      <c r="CD14" s="102">
        <f t="shared" ref="CD14:CK14" si="0">$CC14</f>
        <v>0</v>
      </c>
      <c r="CE14" s="101">
        <f t="shared" si="0"/>
        <v>0</v>
      </c>
      <c r="CF14" s="101">
        <f t="shared" si="0"/>
        <v>0</v>
      </c>
      <c r="CG14" s="101">
        <f t="shared" si="0"/>
        <v>0</v>
      </c>
      <c r="CH14" s="101">
        <f t="shared" si="0"/>
        <v>0</v>
      </c>
      <c r="CI14" s="101">
        <f t="shared" si="0"/>
        <v>0</v>
      </c>
      <c r="CJ14" s="101">
        <f t="shared" si="0"/>
        <v>0</v>
      </c>
      <c r="CK14" s="101">
        <f t="shared" si="0"/>
        <v>0</v>
      </c>
    </row>
    <row r="15" spans="1:89" ht="24.75" customHeight="1">
      <c r="K15" s="6"/>
      <c r="L15" s="6"/>
      <c r="M15" s="6"/>
      <c r="N15" s="6"/>
      <c r="O15" s="6"/>
      <c r="BD15" s="8"/>
      <c r="BE15" s="100"/>
      <c r="BF15" s="467"/>
      <c r="BG15" s="471"/>
      <c r="BH15" s="471"/>
      <c r="BI15" s="471"/>
      <c r="BJ15" s="471"/>
      <c r="BK15" s="473"/>
      <c r="BL15" s="473"/>
      <c r="BM15" s="473"/>
      <c r="BN15" s="473"/>
      <c r="BO15" s="471"/>
      <c r="BP15" s="471"/>
      <c r="BQ15" s="473"/>
      <c r="BR15" s="471"/>
      <c r="BS15" s="471"/>
      <c r="BT15" s="471"/>
      <c r="BU15" s="471"/>
      <c r="BV15" s="471"/>
      <c r="BW15" s="471"/>
      <c r="BX15" s="471"/>
      <c r="BY15" s="471"/>
      <c r="BZ15" s="5"/>
      <c r="CA15" s="26">
        <v>551000</v>
      </c>
      <c r="CB15" s="99"/>
      <c r="CC15" s="98">
        <v>550000</v>
      </c>
      <c r="CD15" s="97">
        <f>$N21-$CC15</f>
        <v>-550000</v>
      </c>
      <c r="CE15" s="97">
        <f>$N22-$CC15</f>
        <v>-550000</v>
      </c>
      <c r="CF15" s="97">
        <f>$N23-$CC15</f>
        <v>-550000</v>
      </c>
      <c r="CG15" s="97">
        <f>$N24-$CC15</f>
        <v>-550000</v>
      </c>
      <c r="CH15" s="97">
        <f>$N25-$CC15</f>
        <v>-550000</v>
      </c>
      <c r="CI15" s="97">
        <f>$N26-$CC15</f>
        <v>-550000</v>
      </c>
      <c r="CJ15" s="97">
        <f>$N27-$CC15</f>
        <v>-550000</v>
      </c>
      <c r="CK15" s="97">
        <f>$N28-$CC15</f>
        <v>-550000</v>
      </c>
    </row>
    <row r="16" spans="1:89" ht="24.75" customHeight="1">
      <c r="A16" s="423" t="s">
        <v>84</v>
      </c>
      <c r="B16" s="423"/>
      <c r="C16" s="423"/>
      <c r="D16" s="423"/>
      <c r="E16" s="423"/>
      <c r="F16" s="423"/>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3"/>
      <c r="AL16" s="423"/>
      <c r="AM16" s="423"/>
      <c r="AN16" s="423"/>
      <c r="AO16" s="423"/>
      <c r="AP16" s="423"/>
      <c r="AQ16" s="423"/>
      <c r="AR16" s="423"/>
      <c r="AS16" s="423"/>
      <c r="AT16" s="423"/>
      <c r="AU16" s="423"/>
      <c r="AV16" s="423"/>
      <c r="AW16" s="423"/>
      <c r="AX16" s="423"/>
      <c r="AY16" s="423"/>
      <c r="AZ16" s="423"/>
      <c r="BA16" s="423"/>
      <c r="BB16" s="423"/>
      <c r="BC16" s="423"/>
      <c r="BD16" s="8"/>
      <c r="BE16" s="100"/>
      <c r="BF16" s="467"/>
      <c r="BG16" s="472"/>
      <c r="BH16" s="472"/>
      <c r="BI16" s="472"/>
      <c r="BJ16" s="472"/>
      <c r="BK16" s="474"/>
      <c r="BL16" s="474"/>
      <c r="BM16" s="474"/>
      <c r="BN16" s="474"/>
      <c r="BO16" s="472"/>
      <c r="BP16" s="472"/>
      <c r="BQ16" s="474"/>
      <c r="BR16" s="472"/>
      <c r="BS16" s="472"/>
      <c r="BT16" s="472"/>
      <c r="BU16" s="472"/>
      <c r="BV16" s="472"/>
      <c r="BW16" s="472"/>
      <c r="BX16" s="472"/>
      <c r="BY16" s="472"/>
      <c r="BZ16" s="5"/>
      <c r="CA16" s="26">
        <v>1619000</v>
      </c>
      <c r="CB16" s="99"/>
      <c r="CC16" s="98">
        <v>1069000</v>
      </c>
      <c r="CD16" s="97">
        <f t="shared" ref="CD16:CK19" si="1">$CC16</f>
        <v>1069000</v>
      </c>
      <c r="CE16" s="97">
        <f t="shared" si="1"/>
        <v>1069000</v>
      </c>
      <c r="CF16" s="97">
        <f t="shared" si="1"/>
        <v>1069000</v>
      </c>
      <c r="CG16" s="97">
        <f t="shared" si="1"/>
        <v>1069000</v>
      </c>
      <c r="CH16" s="97">
        <f t="shared" si="1"/>
        <v>1069000</v>
      </c>
      <c r="CI16" s="97">
        <f t="shared" si="1"/>
        <v>1069000</v>
      </c>
      <c r="CJ16" s="97">
        <f t="shared" si="1"/>
        <v>1069000</v>
      </c>
      <c r="CK16" s="97">
        <f t="shared" si="1"/>
        <v>1069000</v>
      </c>
    </row>
    <row r="17" spans="2:89" ht="24.75" customHeight="1">
      <c r="B17" s="440" t="s">
        <v>83</v>
      </c>
      <c r="C17" s="441"/>
      <c r="D17" s="441"/>
      <c r="E17" s="441"/>
      <c r="F17" s="442"/>
      <c r="G17" s="449" t="s">
        <v>82</v>
      </c>
      <c r="H17" s="450"/>
      <c r="I17" s="450"/>
      <c r="J17" s="450"/>
      <c r="K17" s="450"/>
      <c r="L17" s="450"/>
      <c r="M17" s="451"/>
      <c r="N17" s="483" t="s">
        <v>81</v>
      </c>
      <c r="O17" s="484"/>
      <c r="P17" s="484"/>
      <c r="Q17" s="484"/>
      <c r="R17" s="484"/>
      <c r="S17" s="484"/>
      <c r="T17" s="484"/>
      <c r="U17" s="485"/>
      <c r="V17" s="483" t="s">
        <v>80</v>
      </c>
      <c r="W17" s="484"/>
      <c r="X17" s="484"/>
      <c r="Y17" s="484"/>
      <c r="Z17" s="484"/>
      <c r="AA17" s="484"/>
      <c r="AB17" s="485"/>
      <c r="AC17" s="483" t="s">
        <v>79</v>
      </c>
      <c r="AD17" s="484"/>
      <c r="AE17" s="484"/>
      <c r="AF17" s="484"/>
      <c r="AG17" s="484"/>
      <c r="AH17" s="484"/>
      <c r="AI17" s="485"/>
      <c r="AJ17" s="483" t="s">
        <v>78</v>
      </c>
      <c r="AK17" s="484"/>
      <c r="AL17" s="484"/>
      <c r="AM17" s="484"/>
      <c r="AN17" s="484"/>
      <c r="AO17" s="485"/>
      <c r="AP17" s="483" t="s">
        <v>77</v>
      </c>
      <c r="AQ17" s="484"/>
      <c r="AR17" s="484"/>
      <c r="AS17" s="484"/>
      <c r="AT17" s="485"/>
      <c r="AU17" s="483" t="s">
        <v>76</v>
      </c>
      <c r="AV17" s="484"/>
      <c r="AW17" s="484"/>
      <c r="AX17" s="484"/>
      <c r="AY17" s="484"/>
      <c r="AZ17" s="484"/>
      <c r="BA17" s="484"/>
      <c r="BB17" s="484"/>
      <c r="BC17" s="485"/>
      <c r="BD17" s="85"/>
      <c r="BE17" s="83"/>
      <c r="BF17" s="95">
        <v>1</v>
      </c>
      <c r="BG17" s="94">
        <f t="shared" ref="BG17:BG24" si="2">IF(BP17-BQ17-BR17&gt;0,BP17-BQ17-BR17,0)</f>
        <v>0</v>
      </c>
      <c r="BH17" s="94">
        <f t="shared" ref="BH17:BH24" si="3">IF(G21="65歳～74歳",VLOOKUP(V21,$CA$36:$CK$41,BF17+3),VLOOKUP(V21,$CA$29:$CK$34,BF17+3))</f>
        <v>0</v>
      </c>
      <c r="BI17" s="94">
        <f t="shared" ref="BI17:BI24" si="4">IF(AC21+BG17+BH17&lt;0,0,AC21+BG17+BH17)</f>
        <v>0</v>
      </c>
      <c r="BJ17" s="94">
        <f t="shared" ref="BJ17:BJ24" si="5">IF(BI17&gt;=$CA$48,BI17,IF(BI17&gt;=$CA$47,BI17-$CC$47,IF(BI17&gt;=$CA$46,BI17-$CC$46,IF(BI17&gt;$CA$45,IF(BI17-$CC$45&lt;0,0,BI17-$CC$45),0))))</f>
        <v>0</v>
      </c>
      <c r="BK17" s="77">
        <f t="shared" ref="BK17:BK24" si="6">IF(N21&gt;$CC$15,1,0)</f>
        <v>0</v>
      </c>
      <c r="BL17" s="77">
        <f t="shared" ref="BL17:BL24" si="7">IF(G21="65歳～74歳",IF(V21&gt;1250000,1,0),IF(V21&gt;600000,1,0))</f>
        <v>0</v>
      </c>
      <c r="BM17" s="77">
        <f t="shared" ref="BM17:BM24" si="8">IF(SUM(BK17:BL17)&gt;0,1,0)</f>
        <v>0</v>
      </c>
      <c r="BN17" s="77">
        <f t="shared" ref="BN17:BN24" si="9">IF(AP21&lt;&gt;"擬制世帯主",IF(G21&lt;&gt;"",1,0),0)</f>
        <v>0</v>
      </c>
      <c r="BO17" s="79">
        <f t="shared" ref="BO17:BO24" si="10">VLOOKUP(N21,$CA$13:$CK$24,BF17+3)</f>
        <v>0</v>
      </c>
      <c r="BP17" s="79">
        <f t="shared" ref="BP17:BP24" si="11">IF(AJ21="非自発的失業",INT(BO17*30%),BO17)</f>
        <v>0</v>
      </c>
      <c r="BQ17" s="79">
        <f t="shared" ref="BQ17:BQ24" si="12">ROUNDUP(IF(AND(N21&gt;8500000,AU21="所得金額調整控除該当"),IF(N21&gt;10000000,(10000000-8500000)*10%,(N21-8500000)*10%),0),0)</f>
        <v>0</v>
      </c>
      <c r="BR17" s="79">
        <f t="shared" ref="BR17:BR24" si="13">IF(AND(BP17-BQ17&gt;0,BH17&gt;0),(IF((BP17-BQ17)&gt;100000,100000,(BP17-BQ17))+IF(BH17&gt;100000,100000,BH17))-100000,0)</f>
        <v>0</v>
      </c>
      <c r="BS17" s="79">
        <f t="shared" ref="BS17:BS24" si="14">IF(G21="65歳～74歳",IF(BH17&gt;=150000,BI17-150000,BI17-BH17),BI17)</f>
        <v>0</v>
      </c>
      <c r="BT17" s="79" t="str">
        <f t="shared" ref="BT17:BT24" si="15">IF(G21="","",IF(AP21="",INT(BJ17*$BT$6),0))</f>
        <v/>
      </c>
      <c r="BU17" s="79" t="str">
        <f t="shared" ref="BU17:BU24" si="16">IF(G21="","",IF(AP21="",$BU$6,0))</f>
        <v/>
      </c>
      <c r="BV17" s="79" t="str">
        <f t="shared" ref="BV17:BV24" si="17">IF(G21="","",IF(AP21="",INT(BJ17*$BV$6),0))</f>
        <v/>
      </c>
      <c r="BW17" s="79" t="str">
        <f t="shared" ref="BW17:BW24" si="18">IF(G21="","",IF(AP21="",$BW$6,0))</f>
        <v/>
      </c>
      <c r="BX17" s="79" t="str">
        <f t="shared" ref="BX17:BX24" si="19">IF(G21="40歳～64歳",IF(AP21="",INT(BJ17*$BX$6),0),"")</f>
        <v/>
      </c>
      <c r="BY17" s="79" t="str">
        <f t="shared" ref="BY17:BY24" si="20">IF(G21="40歳～64歳",IF(AP21="",$BY$6,0),"")</f>
        <v/>
      </c>
      <c r="BZ17" s="19"/>
      <c r="CA17" s="26">
        <v>1620000</v>
      </c>
      <c r="CB17" s="99"/>
      <c r="CC17" s="98">
        <v>1070000</v>
      </c>
      <c r="CD17" s="97">
        <f t="shared" si="1"/>
        <v>1070000</v>
      </c>
      <c r="CE17" s="97">
        <f t="shared" si="1"/>
        <v>1070000</v>
      </c>
      <c r="CF17" s="97">
        <f t="shared" si="1"/>
        <v>1070000</v>
      </c>
      <c r="CG17" s="97">
        <f t="shared" si="1"/>
        <v>1070000</v>
      </c>
      <c r="CH17" s="97">
        <f t="shared" si="1"/>
        <v>1070000</v>
      </c>
      <c r="CI17" s="97">
        <f t="shared" si="1"/>
        <v>1070000</v>
      </c>
      <c r="CJ17" s="97">
        <f t="shared" si="1"/>
        <v>1070000</v>
      </c>
      <c r="CK17" s="97">
        <f t="shared" si="1"/>
        <v>1070000</v>
      </c>
    </row>
    <row r="18" spans="2:89" ht="24.75" customHeight="1">
      <c r="B18" s="443"/>
      <c r="C18" s="444"/>
      <c r="D18" s="444"/>
      <c r="E18" s="444"/>
      <c r="F18" s="445"/>
      <c r="G18" s="452"/>
      <c r="H18" s="453"/>
      <c r="I18" s="453"/>
      <c r="J18" s="453"/>
      <c r="K18" s="453"/>
      <c r="L18" s="453"/>
      <c r="M18" s="454"/>
      <c r="N18" s="486"/>
      <c r="O18" s="487"/>
      <c r="P18" s="487"/>
      <c r="Q18" s="487"/>
      <c r="R18" s="487"/>
      <c r="S18" s="487"/>
      <c r="T18" s="487"/>
      <c r="U18" s="488"/>
      <c r="V18" s="486"/>
      <c r="W18" s="487"/>
      <c r="X18" s="487"/>
      <c r="Y18" s="487"/>
      <c r="Z18" s="487"/>
      <c r="AA18" s="487"/>
      <c r="AB18" s="488"/>
      <c r="AC18" s="486"/>
      <c r="AD18" s="487"/>
      <c r="AE18" s="487"/>
      <c r="AF18" s="487"/>
      <c r="AG18" s="487"/>
      <c r="AH18" s="487"/>
      <c r="AI18" s="488"/>
      <c r="AJ18" s="486"/>
      <c r="AK18" s="487"/>
      <c r="AL18" s="487"/>
      <c r="AM18" s="487"/>
      <c r="AN18" s="487"/>
      <c r="AO18" s="488"/>
      <c r="AP18" s="486"/>
      <c r="AQ18" s="487"/>
      <c r="AR18" s="487"/>
      <c r="AS18" s="487"/>
      <c r="AT18" s="488"/>
      <c r="AU18" s="486"/>
      <c r="AV18" s="487"/>
      <c r="AW18" s="487"/>
      <c r="AX18" s="487"/>
      <c r="AY18" s="487"/>
      <c r="AZ18" s="487"/>
      <c r="BA18" s="487"/>
      <c r="BB18" s="487"/>
      <c r="BC18" s="488"/>
      <c r="BD18" s="85"/>
      <c r="BE18" s="83"/>
      <c r="BF18" s="95">
        <v>2</v>
      </c>
      <c r="BG18" s="94">
        <f t="shared" si="2"/>
        <v>0</v>
      </c>
      <c r="BH18" s="94">
        <f t="shared" si="3"/>
        <v>0</v>
      </c>
      <c r="BI18" s="94">
        <f t="shared" si="4"/>
        <v>0</v>
      </c>
      <c r="BJ18" s="94">
        <f t="shared" si="5"/>
        <v>0</v>
      </c>
      <c r="BK18" s="77">
        <f t="shared" si="6"/>
        <v>0</v>
      </c>
      <c r="BL18" s="77">
        <f t="shared" si="7"/>
        <v>0</v>
      </c>
      <c r="BM18" s="77">
        <f t="shared" si="8"/>
        <v>0</v>
      </c>
      <c r="BN18" s="77">
        <f t="shared" si="9"/>
        <v>0</v>
      </c>
      <c r="BO18" s="79">
        <f t="shared" si="10"/>
        <v>0</v>
      </c>
      <c r="BP18" s="79">
        <f t="shared" si="11"/>
        <v>0</v>
      </c>
      <c r="BQ18" s="79">
        <f t="shared" si="12"/>
        <v>0</v>
      </c>
      <c r="BR18" s="79">
        <f t="shared" si="13"/>
        <v>0</v>
      </c>
      <c r="BS18" s="79">
        <f t="shared" si="14"/>
        <v>0</v>
      </c>
      <c r="BT18" s="79" t="str">
        <f t="shared" si="15"/>
        <v/>
      </c>
      <c r="BU18" s="79" t="str">
        <f t="shared" si="16"/>
        <v/>
      </c>
      <c r="BV18" s="79" t="str">
        <f t="shared" si="17"/>
        <v/>
      </c>
      <c r="BW18" s="79" t="str">
        <f t="shared" si="18"/>
        <v/>
      </c>
      <c r="BX18" s="79" t="str">
        <f t="shared" si="19"/>
        <v/>
      </c>
      <c r="BY18" s="79" t="str">
        <f t="shared" si="20"/>
        <v/>
      </c>
      <c r="BZ18" s="19"/>
      <c r="CA18" s="26">
        <v>1622000</v>
      </c>
      <c r="CB18" s="99"/>
      <c r="CC18" s="98">
        <v>1072000</v>
      </c>
      <c r="CD18" s="97">
        <f t="shared" si="1"/>
        <v>1072000</v>
      </c>
      <c r="CE18" s="97">
        <f t="shared" si="1"/>
        <v>1072000</v>
      </c>
      <c r="CF18" s="97">
        <f t="shared" si="1"/>
        <v>1072000</v>
      </c>
      <c r="CG18" s="97">
        <f t="shared" si="1"/>
        <v>1072000</v>
      </c>
      <c r="CH18" s="97">
        <f t="shared" si="1"/>
        <v>1072000</v>
      </c>
      <c r="CI18" s="97">
        <f t="shared" si="1"/>
        <v>1072000</v>
      </c>
      <c r="CJ18" s="97">
        <f t="shared" si="1"/>
        <v>1072000</v>
      </c>
      <c r="CK18" s="97">
        <f t="shared" si="1"/>
        <v>1072000</v>
      </c>
    </row>
    <row r="19" spans="2:89" ht="24.75" customHeight="1">
      <c r="B19" s="443"/>
      <c r="C19" s="444"/>
      <c r="D19" s="444"/>
      <c r="E19" s="444"/>
      <c r="F19" s="445"/>
      <c r="G19" s="452"/>
      <c r="H19" s="453"/>
      <c r="I19" s="453"/>
      <c r="J19" s="453"/>
      <c r="K19" s="453"/>
      <c r="L19" s="453"/>
      <c r="M19" s="454"/>
      <c r="N19" s="486"/>
      <c r="O19" s="487"/>
      <c r="P19" s="487"/>
      <c r="Q19" s="487"/>
      <c r="R19" s="487"/>
      <c r="S19" s="487"/>
      <c r="T19" s="487"/>
      <c r="U19" s="488"/>
      <c r="V19" s="486"/>
      <c r="W19" s="487"/>
      <c r="X19" s="487"/>
      <c r="Y19" s="487"/>
      <c r="Z19" s="487"/>
      <c r="AA19" s="487"/>
      <c r="AB19" s="488"/>
      <c r="AC19" s="486"/>
      <c r="AD19" s="487"/>
      <c r="AE19" s="487"/>
      <c r="AF19" s="487"/>
      <c r="AG19" s="487"/>
      <c r="AH19" s="487"/>
      <c r="AI19" s="488"/>
      <c r="AJ19" s="486"/>
      <c r="AK19" s="487"/>
      <c r="AL19" s="487"/>
      <c r="AM19" s="487"/>
      <c r="AN19" s="487"/>
      <c r="AO19" s="488"/>
      <c r="AP19" s="486"/>
      <c r="AQ19" s="487"/>
      <c r="AR19" s="487"/>
      <c r="AS19" s="487"/>
      <c r="AT19" s="488"/>
      <c r="AU19" s="486"/>
      <c r="AV19" s="487"/>
      <c r="AW19" s="487"/>
      <c r="AX19" s="487"/>
      <c r="AY19" s="487"/>
      <c r="AZ19" s="487"/>
      <c r="BA19" s="487"/>
      <c r="BB19" s="487"/>
      <c r="BC19" s="488"/>
      <c r="BD19" s="85"/>
      <c r="BE19" s="83"/>
      <c r="BF19" s="95">
        <v>3</v>
      </c>
      <c r="BG19" s="94">
        <f t="shared" si="2"/>
        <v>0</v>
      </c>
      <c r="BH19" s="94">
        <f t="shared" si="3"/>
        <v>0</v>
      </c>
      <c r="BI19" s="94">
        <f t="shared" si="4"/>
        <v>0</v>
      </c>
      <c r="BJ19" s="94">
        <f t="shared" si="5"/>
        <v>0</v>
      </c>
      <c r="BK19" s="77">
        <f t="shared" si="6"/>
        <v>0</v>
      </c>
      <c r="BL19" s="77">
        <f t="shared" si="7"/>
        <v>0</v>
      </c>
      <c r="BM19" s="77">
        <f t="shared" si="8"/>
        <v>0</v>
      </c>
      <c r="BN19" s="77">
        <f t="shared" si="9"/>
        <v>0</v>
      </c>
      <c r="BO19" s="79">
        <f t="shared" si="10"/>
        <v>0</v>
      </c>
      <c r="BP19" s="79">
        <f t="shared" si="11"/>
        <v>0</v>
      </c>
      <c r="BQ19" s="79">
        <f t="shared" si="12"/>
        <v>0</v>
      </c>
      <c r="BR19" s="79">
        <f t="shared" si="13"/>
        <v>0</v>
      </c>
      <c r="BS19" s="79">
        <f t="shared" si="14"/>
        <v>0</v>
      </c>
      <c r="BT19" s="79" t="str">
        <f t="shared" si="15"/>
        <v/>
      </c>
      <c r="BU19" s="79" t="str">
        <f t="shared" si="16"/>
        <v/>
      </c>
      <c r="BV19" s="79" t="str">
        <f t="shared" si="17"/>
        <v/>
      </c>
      <c r="BW19" s="79" t="str">
        <f t="shared" si="18"/>
        <v/>
      </c>
      <c r="BX19" s="79" t="str">
        <f t="shared" si="19"/>
        <v/>
      </c>
      <c r="BY19" s="79" t="str">
        <f t="shared" si="20"/>
        <v/>
      </c>
      <c r="BZ19" s="19"/>
      <c r="CA19" s="26">
        <v>1624000</v>
      </c>
      <c r="CB19" s="99"/>
      <c r="CC19" s="98">
        <v>1074000</v>
      </c>
      <c r="CD19" s="97">
        <f t="shared" si="1"/>
        <v>1074000</v>
      </c>
      <c r="CE19" s="97">
        <f t="shared" si="1"/>
        <v>1074000</v>
      </c>
      <c r="CF19" s="97">
        <f t="shared" si="1"/>
        <v>1074000</v>
      </c>
      <c r="CG19" s="96">
        <f t="shared" si="1"/>
        <v>1074000</v>
      </c>
      <c r="CH19" s="97">
        <f t="shared" si="1"/>
        <v>1074000</v>
      </c>
      <c r="CI19" s="97">
        <f t="shared" si="1"/>
        <v>1074000</v>
      </c>
      <c r="CJ19" s="97">
        <f t="shared" si="1"/>
        <v>1074000</v>
      </c>
      <c r="CK19" s="97">
        <f t="shared" si="1"/>
        <v>1074000</v>
      </c>
    </row>
    <row r="20" spans="2:89" ht="24.75" customHeight="1">
      <c r="B20" s="446"/>
      <c r="C20" s="447"/>
      <c r="D20" s="447"/>
      <c r="E20" s="447"/>
      <c r="F20" s="448"/>
      <c r="G20" s="455"/>
      <c r="H20" s="456"/>
      <c r="I20" s="456"/>
      <c r="J20" s="456"/>
      <c r="K20" s="456"/>
      <c r="L20" s="456"/>
      <c r="M20" s="457"/>
      <c r="N20" s="489"/>
      <c r="O20" s="490"/>
      <c r="P20" s="490"/>
      <c r="Q20" s="490"/>
      <c r="R20" s="490"/>
      <c r="S20" s="490"/>
      <c r="T20" s="490"/>
      <c r="U20" s="491"/>
      <c r="V20" s="489"/>
      <c r="W20" s="490"/>
      <c r="X20" s="490"/>
      <c r="Y20" s="490"/>
      <c r="Z20" s="490"/>
      <c r="AA20" s="490"/>
      <c r="AB20" s="491"/>
      <c r="AC20" s="489"/>
      <c r="AD20" s="490"/>
      <c r="AE20" s="490"/>
      <c r="AF20" s="490"/>
      <c r="AG20" s="490"/>
      <c r="AH20" s="490"/>
      <c r="AI20" s="491"/>
      <c r="AJ20" s="489"/>
      <c r="AK20" s="490"/>
      <c r="AL20" s="490"/>
      <c r="AM20" s="490"/>
      <c r="AN20" s="490"/>
      <c r="AO20" s="491"/>
      <c r="AP20" s="489"/>
      <c r="AQ20" s="490"/>
      <c r="AR20" s="490"/>
      <c r="AS20" s="490"/>
      <c r="AT20" s="491"/>
      <c r="AU20" s="489"/>
      <c r="AV20" s="490"/>
      <c r="AW20" s="490"/>
      <c r="AX20" s="490"/>
      <c r="AY20" s="490"/>
      <c r="AZ20" s="490"/>
      <c r="BA20" s="490"/>
      <c r="BB20" s="490"/>
      <c r="BC20" s="491"/>
      <c r="BD20" s="85"/>
      <c r="BE20" s="83"/>
      <c r="BF20" s="95">
        <v>4</v>
      </c>
      <c r="BG20" s="94">
        <f t="shared" si="2"/>
        <v>0</v>
      </c>
      <c r="BH20" s="94">
        <f t="shared" si="3"/>
        <v>0</v>
      </c>
      <c r="BI20" s="94">
        <f t="shared" si="4"/>
        <v>0</v>
      </c>
      <c r="BJ20" s="94">
        <f t="shared" si="5"/>
        <v>0</v>
      </c>
      <c r="BK20" s="77">
        <f t="shared" si="6"/>
        <v>0</v>
      </c>
      <c r="BL20" s="77">
        <f t="shared" si="7"/>
        <v>0</v>
      </c>
      <c r="BM20" s="77">
        <f t="shared" si="8"/>
        <v>0</v>
      </c>
      <c r="BN20" s="77">
        <f t="shared" si="9"/>
        <v>0</v>
      </c>
      <c r="BO20" s="79">
        <f t="shared" si="10"/>
        <v>0</v>
      </c>
      <c r="BP20" s="79">
        <f t="shared" si="11"/>
        <v>0</v>
      </c>
      <c r="BQ20" s="79">
        <f t="shared" si="12"/>
        <v>0</v>
      </c>
      <c r="BR20" s="79">
        <f t="shared" si="13"/>
        <v>0</v>
      </c>
      <c r="BS20" s="79">
        <f t="shared" si="14"/>
        <v>0</v>
      </c>
      <c r="BT20" s="79" t="str">
        <f t="shared" si="15"/>
        <v/>
      </c>
      <c r="BU20" s="79" t="str">
        <f t="shared" si="16"/>
        <v/>
      </c>
      <c r="BV20" s="79" t="str">
        <f t="shared" si="17"/>
        <v/>
      </c>
      <c r="BW20" s="79" t="str">
        <f t="shared" si="18"/>
        <v/>
      </c>
      <c r="BX20" s="79" t="str">
        <f t="shared" si="19"/>
        <v/>
      </c>
      <c r="BY20" s="79" t="str">
        <f t="shared" si="20"/>
        <v/>
      </c>
      <c r="BZ20" s="19"/>
      <c r="CA20" s="26">
        <v>1628000</v>
      </c>
      <c r="CB20" s="99">
        <v>0.6</v>
      </c>
      <c r="CC20" s="98">
        <v>100000</v>
      </c>
      <c r="CD20" s="97">
        <f>INT(TRUNC(($N21/4),-3)*4*$CB20+$CC20)</f>
        <v>100000</v>
      </c>
      <c r="CE20" s="97">
        <f>INT(TRUNC(($N22/4),-3)*4*$CB20+$CC20)</f>
        <v>100000</v>
      </c>
      <c r="CF20" s="97">
        <f>INT(TRUNC(($N23/4),-3)*4*$CB20+$CC20)</f>
        <v>100000</v>
      </c>
      <c r="CG20" s="96">
        <f>INT(TRUNC(($N24/4),-3)*4*$CB20+$CC20)</f>
        <v>100000</v>
      </c>
      <c r="CH20" s="96">
        <f>INT(TRUNC(($N25/4),-3)*4*$CB20+$CC20)</f>
        <v>100000</v>
      </c>
      <c r="CI20" s="96">
        <f>INT(TRUNC(($N26/4),-3)*4*$CB20+$CC20)</f>
        <v>100000</v>
      </c>
      <c r="CJ20" s="96">
        <f>INT(TRUNC(($N27/4),-3)*4*$CB20+$CC20)</f>
        <v>100000</v>
      </c>
      <c r="CK20" s="96">
        <f>INT(TRUNC(($N28/4),-3)*4*$CB20+$CC20)</f>
        <v>100000</v>
      </c>
    </row>
    <row r="21" spans="2:89" ht="24.75" customHeight="1">
      <c r="B21" s="437" t="s">
        <v>75</v>
      </c>
      <c r="C21" s="438"/>
      <c r="D21" s="438"/>
      <c r="E21" s="438"/>
      <c r="F21" s="439"/>
      <c r="G21" s="401"/>
      <c r="H21" s="401"/>
      <c r="I21" s="401"/>
      <c r="J21" s="401"/>
      <c r="K21" s="401"/>
      <c r="L21" s="401"/>
      <c r="M21" s="401"/>
      <c r="N21" s="402"/>
      <c r="O21" s="403"/>
      <c r="P21" s="403"/>
      <c r="Q21" s="403"/>
      <c r="R21" s="403"/>
      <c r="S21" s="403"/>
      <c r="T21" s="403"/>
      <c r="U21" s="404"/>
      <c r="V21" s="390"/>
      <c r="W21" s="390"/>
      <c r="X21" s="390"/>
      <c r="Y21" s="390"/>
      <c r="Z21" s="390"/>
      <c r="AA21" s="390"/>
      <c r="AB21" s="390"/>
      <c r="AC21" s="390"/>
      <c r="AD21" s="390"/>
      <c r="AE21" s="390"/>
      <c r="AF21" s="390"/>
      <c r="AG21" s="390"/>
      <c r="AH21" s="390"/>
      <c r="AI21" s="390"/>
      <c r="AJ21" s="391"/>
      <c r="AK21" s="392"/>
      <c r="AL21" s="392"/>
      <c r="AM21" s="392"/>
      <c r="AN21" s="392"/>
      <c r="AO21" s="393"/>
      <c r="AP21" s="391"/>
      <c r="AQ21" s="392"/>
      <c r="AR21" s="392"/>
      <c r="AS21" s="392"/>
      <c r="AT21" s="393"/>
      <c r="AU21" s="387"/>
      <c r="AV21" s="388"/>
      <c r="AW21" s="388"/>
      <c r="AX21" s="388"/>
      <c r="AY21" s="388"/>
      <c r="AZ21" s="388"/>
      <c r="BA21" s="388"/>
      <c r="BB21" s="388"/>
      <c r="BC21" s="389"/>
      <c r="BD21" s="85"/>
      <c r="BE21" s="83"/>
      <c r="BF21" s="95">
        <v>5</v>
      </c>
      <c r="BG21" s="94">
        <f t="shared" si="2"/>
        <v>0</v>
      </c>
      <c r="BH21" s="94">
        <f t="shared" si="3"/>
        <v>0</v>
      </c>
      <c r="BI21" s="94">
        <f t="shared" si="4"/>
        <v>0</v>
      </c>
      <c r="BJ21" s="94">
        <f t="shared" si="5"/>
        <v>0</v>
      </c>
      <c r="BK21" s="77">
        <f t="shared" si="6"/>
        <v>0</v>
      </c>
      <c r="BL21" s="77">
        <f t="shared" si="7"/>
        <v>0</v>
      </c>
      <c r="BM21" s="77">
        <f t="shared" si="8"/>
        <v>0</v>
      </c>
      <c r="BN21" s="77">
        <f t="shared" si="9"/>
        <v>0</v>
      </c>
      <c r="BO21" s="79">
        <f t="shared" si="10"/>
        <v>0</v>
      </c>
      <c r="BP21" s="79">
        <f t="shared" si="11"/>
        <v>0</v>
      </c>
      <c r="BQ21" s="79">
        <f t="shared" si="12"/>
        <v>0</v>
      </c>
      <c r="BR21" s="79">
        <f t="shared" si="13"/>
        <v>0</v>
      </c>
      <c r="BS21" s="79">
        <f t="shared" si="14"/>
        <v>0</v>
      </c>
      <c r="BT21" s="79" t="str">
        <f t="shared" si="15"/>
        <v/>
      </c>
      <c r="BU21" s="79" t="str">
        <f t="shared" si="16"/>
        <v/>
      </c>
      <c r="BV21" s="79" t="str">
        <f t="shared" si="17"/>
        <v/>
      </c>
      <c r="BW21" s="79" t="str">
        <f t="shared" si="18"/>
        <v/>
      </c>
      <c r="BX21" s="79" t="str">
        <f t="shared" si="19"/>
        <v/>
      </c>
      <c r="BY21" s="79" t="str">
        <f t="shared" si="20"/>
        <v/>
      </c>
      <c r="BZ21" s="19"/>
      <c r="CA21" s="26">
        <v>1800000</v>
      </c>
      <c r="CB21" s="99">
        <v>0.7</v>
      </c>
      <c r="CC21" s="98">
        <v>80000</v>
      </c>
      <c r="CD21" s="97">
        <f>INT(TRUNC(($N21/4),-3)*4*$CB21-$CC21)</f>
        <v>-80000</v>
      </c>
      <c r="CE21" s="97">
        <f>INT(TRUNC(($N22/4),-3)*4*$CB21-$CC21)</f>
        <v>-80000</v>
      </c>
      <c r="CF21" s="97">
        <f>INT(TRUNC(($N23/4),-3)*4*$CB21-$CC21)</f>
        <v>-80000</v>
      </c>
      <c r="CG21" s="96">
        <f>INT(TRUNC(($N24/4),-3)*4*$CB21-$CC21)</f>
        <v>-80000</v>
      </c>
      <c r="CH21" s="96">
        <f>INT(TRUNC(($N25/4),-3)*4*$CB21-$CC21)</f>
        <v>-80000</v>
      </c>
      <c r="CI21" s="96">
        <f>INT(TRUNC(($N26/4),-3)*4*$CB21-$CC21)</f>
        <v>-80000</v>
      </c>
      <c r="CJ21" s="96">
        <f>INT(TRUNC(($N27/4),-3)*4*$CB21-$CC21)</f>
        <v>-80000</v>
      </c>
      <c r="CK21" s="96">
        <f>INT(TRUNC(($N28/4),-3)*4*$CB21-$CC21)</f>
        <v>-80000</v>
      </c>
    </row>
    <row r="22" spans="2:89" ht="24.75" customHeight="1">
      <c r="B22" s="437" t="s">
        <v>74</v>
      </c>
      <c r="C22" s="438"/>
      <c r="D22" s="438"/>
      <c r="E22" s="438"/>
      <c r="F22" s="439"/>
      <c r="G22" s="401"/>
      <c r="H22" s="401"/>
      <c r="I22" s="401"/>
      <c r="J22" s="401"/>
      <c r="K22" s="401"/>
      <c r="L22" s="401"/>
      <c r="M22" s="401"/>
      <c r="N22" s="402"/>
      <c r="O22" s="403"/>
      <c r="P22" s="403"/>
      <c r="Q22" s="403"/>
      <c r="R22" s="403"/>
      <c r="S22" s="403"/>
      <c r="T22" s="403"/>
      <c r="U22" s="404"/>
      <c r="V22" s="390"/>
      <c r="W22" s="390"/>
      <c r="X22" s="390"/>
      <c r="Y22" s="390"/>
      <c r="Z22" s="390"/>
      <c r="AA22" s="390"/>
      <c r="AB22" s="390"/>
      <c r="AC22" s="390"/>
      <c r="AD22" s="390"/>
      <c r="AE22" s="390"/>
      <c r="AF22" s="390"/>
      <c r="AG22" s="390"/>
      <c r="AH22" s="390"/>
      <c r="AI22" s="390"/>
      <c r="AJ22" s="391"/>
      <c r="AK22" s="392"/>
      <c r="AL22" s="392"/>
      <c r="AM22" s="392"/>
      <c r="AN22" s="392"/>
      <c r="AO22" s="393"/>
      <c r="AP22" s="425"/>
      <c r="AQ22" s="426"/>
      <c r="AR22" s="426"/>
      <c r="AS22" s="426"/>
      <c r="AT22" s="427"/>
      <c r="AU22" s="387"/>
      <c r="AV22" s="388"/>
      <c r="AW22" s="388"/>
      <c r="AX22" s="388"/>
      <c r="AY22" s="388"/>
      <c r="AZ22" s="388"/>
      <c r="BA22" s="388"/>
      <c r="BB22" s="388"/>
      <c r="BC22" s="389"/>
      <c r="BD22" s="85"/>
      <c r="BE22" s="83"/>
      <c r="BF22" s="95">
        <v>6</v>
      </c>
      <c r="BG22" s="94">
        <f t="shared" si="2"/>
        <v>0</v>
      </c>
      <c r="BH22" s="94">
        <f t="shared" si="3"/>
        <v>0</v>
      </c>
      <c r="BI22" s="94">
        <f t="shared" si="4"/>
        <v>0</v>
      </c>
      <c r="BJ22" s="94">
        <f t="shared" si="5"/>
        <v>0</v>
      </c>
      <c r="BK22" s="77">
        <f t="shared" si="6"/>
        <v>0</v>
      </c>
      <c r="BL22" s="77">
        <f t="shared" si="7"/>
        <v>0</v>
      </c>
      <c r="BM22" s="77">
        <f t="shared" si="8"/>
        <v>0</v>
      </c>
      <c r="BN22" s="77">
        <f t="shared" si="9"/>
        <v>0</v>
      </c>
      <c r="BO22" s="79">
        <f t="shared" si="10"/>
        <v>0</v>
      </c>
      <c r="BP22" s="79">
        <f t="shared" si="11"/>
        <v>0</v>
      </c>
      <c r="BQ22" s="79">
        <f t="shared" si="12"/>
        <v>0</v>
      </c>
      <c r="BR22" s="79">
        <f t="shared" si="13"/>
        <v>0</v>
      </c>
      <c r="BS22" s="79">
        <f t="shared" si="14"/>
        <v>0</v>
      </c>
      <c r="BT22" s="79" t="str">
        <f t="shared" si="15"/>
        <v/>
      </c>
      <c r="BU22" s="79" t="str">
        <f t="shared" si="16"/>
        <v/>
      </c>
      <c r="BV22" s="79" t="str">
        <f t="shared" si="17"/>
        <v/>
      </c>
      <c r="BW22" s="79" t="str">
        <f t="shared" si="18"/>
        <v/>
      </c>
      <c r="BX22" s="79" t="str">
        <f t="shared" si="19"/>
        <v/>
      </c>
      <c r="BY22" s="79" t="str">
        <f t="shared" si="20"/>
        <v/>
      </c>
      <c r="BZ22" s="19"/>
      <c r="CA22" s="26">
        <v>3600000</v>
      </c>
      <c r="CB22" s="99">
        <v>0.8</v>
      </c>
      <c r="CC22" s="98">
        <v>440000</v>
      </c>
      <c r="CD22" s="97">
        <f>INT(TRUNC(($N21/4),-3)*4*$CB22-$CC22)</f>
        <v>-440000</v>
      </c>
      <c r="CE22" s="97">
        <f>INT(TRUNC(($N22/4),-3)*4*$CB22-$CC22)</f>
        <v>-440000</v>
      </c>
      <c r="CF22" s="97">
        <f>INT(TRUNC(($N23/4),-3)*4*$CB22-$CC22)</f>
        <v>-440000</v>
      </c>
      <c r="CG22" s="96">
        <f>INT(TRUNC(($N24/4),-3)*4*$CB22-$CC22)</f>
        <v>-440000</v>
      </c>
      <c r="CH22" s="96">
        <f>INT(TRUNC(($N25/4),-3)*4*$CB22-$CC22)</f>
        <v>-440000</v>
      </c>
      <c r="CI22" s="96">
        <f>INT(TRUNC(($N26/4),-3)*4*$CB22-$CC22)</f>
        <v>-440000</v>
      </c>
      <c r="CJ22" s="96">
        <f>INT(TRUNC(($N27/4),-3)*4*$CB22-$CC22)</f>
        <v>-440000</v>
      </c>
      <c r="CK22" s="96">
        <f>INT(TRUNC(($N28/4),-3)*4*$CB22-$CC22)</f>
        <v>-440000</v>
      </c>
    </row>
    <row r="23" spans="2:89" ht="24.75" customHeight="1">
      <c r="B23" s="437" t="s">
        <v>73</v>
      </c>
      <c r="C23" s="438"/>
      <c r="D23" s="438"/>
      <c r="E23" s="438"/>
      <c r="F23" s="439"/>
      <c r="G23" s="401"/>
      <c r="H23" s="401"/>
      <c r="I23" s="401"/>
      <c r="J23" s="401"/>
      <c r="K23" s="401"/>
      <c r="L23" s="401"/>
      <c r="M23" s="401"/>
      <c r="N23" s="402"/>
      <c r="O23" s="403"/>
      <c r="P23" s="403"/>
      <c r="Q23" s="403"/>
      <c r="R23" s="403"/>
      <c r="S23" s="403"/>
      <c r="T23" s="403"/>
      <c r="U23" s="404"/>
      <c r="V23" s="390"/>
      <c r="W23" s="390"/>
      <c r="X23" s="390"/>
      <c r="Y23" s="390"/>
      <c r="Z23" s="390"/>
      <c r="AA23" s="390"/>
      <c r="AB23" s="390"/>
      <c r="AC23" s="390"/>
      <c r="AD23" s="390"/>
      <c r="AE23" s="390"/>
      <c r="AF23" s="390"/>
      <c r="AG23" s="390"/>
      <c r="AH23" s="390"/>
      <c r="AI23" s="390"/>
      <c r="AJ23" s="391"/>
      <c r="AK23" s="392"/>
      <c r="AL23" s="392"/>
      <c r="AM23" s="392"/>
      <c r="AN23" s="392"/>
      <c r="AO23" s="393"/>
      <c r="AP23" s="409"/>
      <c r="AQ23" s="410"/>
      <c r="AR23" s="410"/>
      <c r="AS23" s="410"/>
      <c r="AT23" s="411"/>
      <c r="AU23" s="387"/>
      <c r="AV23" s="388"/>
      <c r="AW23" s="388"/>
      <c r="AX23" s="388"/>
      <c r="AY23" s="388"/>
      <c r="AZ23" s="388"/>
      <c r="BA23" s="388"/>
      <c r="BB23" s="388"/>
      <c r="BC23" s="389"/>
      <c r="BD23" s="85"/>
      <c r="BE23" s="83"/>
      <c r="BF23" s="95">
        <v>7</v>
      </c>
      <c r="BG23" s="94">
        <f t="shared" si="2"/>
        <v>0</v>
      </c>
      <c r="BH23" s="94">
        <f t="shared" si="3"/>
        <v>0</v>
      </c>
      <c r="BI23" s="94">
        <f t="shared" si="4"/>
        <v>0</v>
      </c>
      <c r="BJ23" s="94">
        <f t="shared" si="5"/>
        <v>0</v>
      </c>
      <c r="BK23" s="77">
        <f t="shared" si="6"/>
        <v>0</v>
      </c>
      <c r="BL23" s="77">
        <f t="shared" si="7"/>
        <v>0</v>
      </c>
      <c r="BM23" s="77">
        <f t="shared" si="8"/>
        <v>0</v>
      </c>
      <c r="BN23" s="77">
        <f t="shared" si="9"/>
        <v>0</v>
      </c>
      <c r="BO23" s="79">
        <f t="shared" si="10"/>
        <v>0</v>
      </c>
      <c r="BP23" s="79">
        <f t="shared" si="11"/>
        <v>0</v>
      </c>
      <c r="BQ23" s="79">
        <f t="shared" si="12"/>
        <v>0</v>
      </c>
      <c r="BR23" s="79">
        <f t="shared" si="13"/>
        <v>0</v>
      </c>
      <c r="BS23" s="79">
        <f t="shared" si="14"/>
        <v>0</v>
      </c>
      <c r="BT23" s="79" t="str">
        <f t="shared" si="15"/>
        <v/>
      </c>
      <c r="BU23" s="79" t="str">
        <f t="shared" si="16"/>
        <v/>
      </c>
      <c r="BV23" s="79" t="str">
        <f t="shared" si="17"/>
        <v/>
      </c>
      <c r="BW23" s="79" t="str">
        <f t="shared" si="18"/>
        <v/>
      </c>
      <c r="BX23" s="79" t="str">
        <f t="shared" si="19"/>
        <v/>
      </c>
      <c r="BY23" s="79" t="str">
        <f t="shared" si="20"/>
        <v/>
      </c>
      <c r="BZ23" s="19"/>
      <c r="CA23" s="26">
        <v>6600000</v>
      </c>
      <c r="CB23" s="99">
        <v>0.9</v>
      </c>
      <c r="CC23" s="98">
        <v>1100000</v>
      </c>
      <c r="CD23" s="97">
        <f>INT($N21*$CB23-$CC23)</f>
        <v>-1100000</v>
      </c>
      <c r="CE23" s="97">
        <f>INT($N22*$CB23-$CC23)</f>
        <v>-1100000</v>
      </c>
      <c r="CF23" s="97">
        <f>INT($N23*$CB23-$CC23)</f>
        <v>-1100000</v>
      </c>
      <c r="CG23" s="96">
        <f>INT($N24*$CB23-$CC23)</f>
        <v>-1100000</v>
      </c>
      <c r="CH23" s="96">
        <f>INT($N25*$CB23-$CC23)</f>
        <v>-1100000</v>
      </c>
      <c r="CI23" s="96">
        <f>INT($N26*$CB23-$CC23)</f>
        <v>-1100000</v>
      </c>
      <c r="CJ23" s="96">
        <f>INT($N27*$CB23-$CC23)</f>
        <v>-1100000</v>
      </c>
      <c r="CK23" s="96">
        <f>INT($N28*$CB23-$CC23)</f>
        <v>-1100000</v>
      </c>
    </row>
    <row r="24" spans="2:89" ht="24.75" customHeight="1">
      <c r="B24" s="437" t="s">
        <v>72</v>
      </c>
      <c r="C24" s="438"/>
      <c r="D24" s="438"/>
      <c r="E24" s="438"/>
      <c r="F24" s="439"/>
      <c r="G24" s="401"/>
      <c r="H24" s="401"/>
      <c r="I24" s="401"/>
      <c r="J24" s="401"/>
      <c r="K24" s="401"/>
      <c r="L24" s="401"/>
      <c r="M24" s="401"/>
      <c r="N24" s="402"/>
      <c r="O24" s="403"/>
      <c r="P24" s="403"/>
      <c r="Q24" s="403"/>
      <c r="R24" s="403"/>
      <c r="S24" s="403"/>
      <c r="T24" s="403"/>
      <c r="U24" s="404"/>
      <c r="V24" s="390"/>
      <c r="W24" s="390"/>
      <c r="X24" s="390"/>
      <c r="Y24" s="390"/>
      <c r="Z24" s="390"/>
      <c r="AA24" s="390"/>
      <c r="AB24" s="390"/>
      <c r="AC24" s="390"/>
      <c r="AD24" s="390"/>
      <c r="AE24" s="390"/>
      <c r="AF24" s="390"/>
      <c r="AG24" s="390"/>
      <c r="AH24" s="390"/>
      <c r="AI24" s="390"/>
      <c r="AJ24" s="391"/>
      <c r="AK24" s="392"/>
      <c r="AL24" s="392"/>
      <c r="AM24" s="392"/>
      <c r="AN24" s="392"/>
      <c r="AO24" s="393"/>
      <c r="AP24" s="409"/>
      <c r="AQ24" s="410"/>
      <c r="AR24" s="410"/>
      <c r="AS24" s="410"/>
      <c r="AT24" s="411"/>
      <c r="AU24" s="387"/>
      <c r="AV24" s="388"/>
      <c r="AW24" s="388"/>
      <c r="AX24" s="388"/>
      <c r="AY24" s="388"/>
      <c r="AZ24" s="388"/>
      <c r="BA24" s="388"/>
      <c r="BB24" s="388"/>
      <c r="BC24" s="389"/>
      <c r="BD24" s="85"/>
      <c r="BE24" s="83"/>
      <c r="BF24" s="95">
        <v>8</v>
      </c>
      <c r="BG24" s="94">
        <f t="shared" si="2"/>
        <v>0</v>
      </c>
      <c r="BH24" s="94">
        <f t="shared" si="3"/>
        <v>0</v>
      </c>
      <c r="BI24" s="94">
        <f t="shared" si="4"/>
        <v>0</v>
      </c>
      <c r="BJ24" s="94">
        <f t="shared" si="5"/>
        <v>0</v>
      </c>
      <c r="BK24" s="77">
        <f t="shared" si="6"/>
        <v>0</v>
      </c>
      <c r="BL24" s="77">
        <f t="shared" si="7"/>
        <v>0</v>
      </c>
      <c r="BM24" s="77">
        <f t="shared" si="8"/>
        <v>0</v>
      </c>
      <c r="BN24" s="77">
        <f t="shared" si="9"/>
        <v>0</v>
      </c>
      <c r="BO24" s="79">
        <f t="shared" si="10"/>
        <v>0</v>
      </c>
      <c r="BP24" s="79">
        <f t="shared" si="11"/>
        <v>0</v>
      </c>
      <c r="BQ24" s="79">
        <f t="shared" si="12"/>
        <v>0</v>
      </c>
      <c r="BR24" s="79">
        <f t="shared" si="13"/>
        <v>0</v>
      </c>
      <c r="BS24" s="79">
        <f t="shared" si="14"/>
        <v>0</v>
      </c>
      <c r="BT24" s="79" t="str">
        <f t="shared" si="15"/>
        <v/>
      </c>
      <c r="BU24" s="79" t="str">
        <f t="shared" si="16"/>
        <v/>
      </c>
      <c r="BV24" s="79" t="str">
        <f t="shared" si="17"/>
        <v/>
      </c>
      <c r="BW24" s="79" t="str">
        <f t="shared" si="18"/>
        <v/>
      </c>
      <c r="BX24" s="79" t="str">
        <f t="shared" si="19"/>
        <v/>
      </c>
      <c r="BY24" s="79" t="str">
        <f t="shared" si="20"/>
        <v/>
      </c>
      <c r="BZ24" s="19"/>
      <c r="CA24" s="93">
        <v>8500000</v>
      </c>
      <c r="CB24" s="92"/>
      <c r="CC24" s="91">
        <v>1950000</v>
      </c>
      <c r="CD24" s="90">
        <f>$N21-$CC24</f>
        <v>-1950000</v>
      </c>
      <c r="CE24" s="90">
        <f>$N22-$CC24</f>
        <v>-1950000</v>
      </c>
      <c r="CF24" s="90">
        <f>$N23-$CC24</f>
        <v>-1950000</v>
      </c>
      <c r="CG24" s="90">
        <f>$N24-$CC24</f>
        <v>-1950000</v>
      </c>
      <c r="CH24" s="90">
        <f>$N25-$CC24</f>
        <v>-1950000</v>
      </c>
      <c r="CI24" s="90">
        <f>$N26-$CC24</f>
        <v>-1950000</v>
      </c>
      <c r="CJ24" s="90">
        <f>$N27-$CC24</f>
        <v>-1950000</v>
      </c>
      <c r="CK24" s="90">
        <f>$N28-$CC24</f>
        <v>-1950000</v>
      </c>
    </row>
    <row r="25" spans="2:89" ht="24.75" customHeight="1">
      <c r="B25" s="437" t="s">
        <v>71</v>
      </c>
      <c r="C25" s="438"/>
      <c r="D25" s="438"/>
      <c r="E25" s="438"/>
      <c r="F25" s="439"/>
      <c r="G25" s="401"/>
      <c r="H25" s="401"/>
      <c r="I25" s="401"/>
      <c r="J25" s="401"/>
      <c r="K25" s="401"/>
      <c r="L25" s="401"/>
      <c r="M25" s="401"/>
      <c r="N25" s="402"/>
      <c r="O25" s="403"/>
      <c r="P25" s="403"/>
      <c r="Q25" s="403"/>
      <c r="R25" s="403"/>
      <c r="S25" s="403"/>
      <c r="T25" s="403"/>
      <c r="U25" s="404"/>
      <c r="V25" s="390"/>
      <c r="W25" s="390"/>
      <c r="X25" s="390"/>
      <c r="Y25" s="390"/>
      <c r="Z25" s="390"/>
      <c r="AA25" s="390"/>
      <c r="AB25" s="390"/>
      <c r="AC25" s="390"/>
      <c r="AD25" s="390"/>
      <c r="AE25" s="390"/>
      <c r="AF25" s="390"/>
      <c r="AG25" s="390"/>
      <c r="AH25" s="390"/>
      <c r="AI25" s="390"/>
      <c r="AJ25" s="391"/>
      <c r="AK25" s="392"/>
      <c r="AL25" s="392"/>
      <c r="AM25" s="392"/>
      <c r="AN25" s="392"/>
      <c r="AO25" s="393"/>
      <c r="AP25" s="409"/>
      <c r="AQ25" s="410"/>
      <c r="AR25" s="410"/>
      <c r="AS25" s="410"/>
      <c r="AT25" s="411"/>
      <c r="AU25" s="387"/>
      <c r="AV25" s="388"/>
      <c r="AW25" s="388"/>
      <c r="AX25" s="388"/>
      <c r="AY25" s="388"/>
      <c r="AZ25" s="388"/>
      <c r="BA25" s="388"/>
      <c r="BB25" s="388"/>
      <c r="BC25" s="389"/>
      <c r="BD25" s="85"/>
      <c r="BE25" s="83"/>
      <c r="BF25" s="71"/>
      <c r="BG25" s="84"/>
      <c r="BH25" s="84"/>
      <c r="BI25" s="84"/>
      <c r="BJ25" s="84"/>
    </row>
    <row r="26" spans="2:89" ht="24.75" customHeight="1">
      <c r="B26" s="437" t="s">
        <v>70</v>
      </c>
      <c r="C26" s="438"/>
      <c r="D26" s="438"/>
      <c r="E26" s="438"/>
      <c r="F26" s="439"/>
      <c r="G26" s="401"/>
      <c r="H26" s="401"/>
      <c r="I26" s="401"/>
      <c r="J26" s="401"/>
      <c r="K26" s="401"/>
      <c r="L26" s="401"/>
      <c r="M26" s="401"/>
      <c r="N26" s="402"/>
      <c r="O26" s="403"/>
      <c r="P26" s="403"/>
      <c r="Q26" s="403"/>
      <c r="R26" s="403"/>
      <c r="S26" s="403"/>
      <c r="T26" s="403"/>
      <c r="U26" s="404"/>
      <c r="V26" s="390"/>
      <c r="W26" s="390"/>
      <c r="X26" s="390"/>
      <c r="Y26" s="390"/>
      <c r="Z26" s="390"/>
      <c r="AA26" s="390"/>
      <c r="AB26" s="390"/>
      <c r="AC26" s="390"/>
      <c r="AD26" s="390"/>
      <c r="AE26" s="390"/>
      <c r="AF26" s="390"/>
      <c r="AG26" s="390"/>
      <c r="AH26" s="390"/>
      <c r="AI26" s="390"/>
      <c r="AJ26" s="391"/>
      <c r="AK26" s="392"/>
      <c r="AL26" s="392"/>
      <c r="AM26" s="392"/>
      <c r="AN26" s="392"/>
      <c r="AO26" s="393"/>
      <c r="AP26" s="409"/>
      <c r="AQ26" s="410"/>
      <c r="AR26" s="410"/>
      <c r="AS26" s="410"/>
      <c r="AT26" s="411"/>
      <c r="AU26" s="387"/>
      <c r="AV26" s="388"/>
      <c r="AW26" s="388"/>
      <c r="AX26" s="388"/>
      <c r="AY26" s="388"/>
      <c r="AZ26" s="388"/>
      <c r="BA26" s="388"/>
      <c r="BB26" s="388"/>
      <c r="BC26" s="389"/>
      <c r="BD26" s="85"/>
      <c r="BE26" s="83"/>
      <c r="BF26" s="71"/>
      <c r="BG26" s="84"/>
      <c r="BH26" s="84"/>
      <c r="BI26" s="84"/>
      <c r="BJ26" s="84"/>
      <c r="BM26" s="468" t="s">
        <v>69</v>
      </c>
      <c r="BN26" s="468" t="s">
        <v>68</v>
      </c>
      <c r="BO26" s="19"/>
      <c r="BS26" s="468" t="s">
        <v>67</v>
      </c>
      <c r="BT26" s="469" t="s">
        <v>66</v>
      </c>
      <c r="BU26" s="466" t="s">
        <v>65</v>
      </c>
      <c r="BV26" s="466" t="s">
        <v>64</v>
      </c>
      <c r="BW26" s="466" t="s">
        <v>63</v>
      </c>
      <c r="BX26" s="466" t="s">
        <v>62</v>
      </c>
      <c r="BY26" s="466" t="s">
        <v>61</v>
      </c>
      <c r="CA26" s="475" t="s">
        <v>60</v>
      </c>
      <c r="CB26" s="475"/>
      <c r="CC26" s="475"/>
    </row>
    <row r="27" spans="2:89" ht="24.75" customHeight="1">
      <c r="B27" s="437" t="s">
        <v>59</v>
      </c>
      <c r="C27" s="438"/>
      <c r="D27" s="438"/>
      <c r="E27" s="438"/>
      <c r="F27" s="439"/>
      <c r="G27" s="401"/>
      <c r="H27" s="401"/>
      <c r="I27" s="401"/>
      <c r="J27" s="401"/>
      <c r="K27" s="401"/>
      <c r="L27" s="401"/>
      <c r="M27" s="401"/>
      <c r="N27" s="402"/>
      <c r="O27" s="403"/>
      <c r="P27" s="403"/>
      <c r="Q27" s="403"/>
      <c r="R27" s="403"/>
      <c r="S27" s="403"/>
      <c r="T27" s="403"/>
      <c r="U27" s="404"/>
      <c r="V27" s="390"/>
      <c r="W27" s="390"/>
      <c r="X27" s="390"/>
      <c r="Y27" s="390"/>
      <c r="Z27" s="390"/>
      <c r="AA27" s="390"/>
      <c r="AB27" s="390"/>
      <c r="AC27" s="390"/>
      <c r="AD27" s="390"/>
      <c r="AE27" s="390"/>
      <c r="AF27" s="390"/>
      <c r="AG27" s="390"/>
      <c r="AH27" s="390"/>
      <c r="AI27" s="390"/>
      <c r="AJ27" s="391"/>
      <c r="AK27" s="392"/>
      <c r="AL27" s="392"/>
      <c r="AM27" s="392"/>
      <c r="AN27" s="392"/>
      <c r="AO27" s="393"/>
      <c r="AP27" s="409"/>
      <c r="AQ27" s="410"/>
      <c r="AR27" s="410"/>
      <c r="AS27" s="410"/>
      <c r="AT27" s="411"/>
      <c r="AU27" s="387"/>
      <c r="AV27" s="388"/>
      <c r="AW27" s="388"/>
      <c r="AX27" s="388"/>
      <c r="AY27" s="388"/>
      <c r="AZ27" s="388"/>
      <c r="BA27" s="388"/>
      <c r="BB27" s="388"/>
      <c r="BC27" s="389"/>
      <c r="BD27" s="85"/>
      <c r="BE27" s="83"/>
      <c r="BF27" s="71"/>
      <c r="BG27" s="84"/>
      <c r="BH27" s="84"/>
      <c r="BI27" s="84"/>
      <c r="BJ27" s="84"/>
      <c r="BM27" s="468"/>
      <c r="BN27" s="468"/>
      <c r="BS27" s="468"/>
      <c r="BT27" s="469"/>
      <c r="BU27" s="467"/>
      <c r="BV27" s="467"/>
      <c r="BW27" s="467"/>
      <c r="BX27" s="467"/>
      <c r="BY27" s="467"/>
      <c r="CA27" s="475"/>
      <c r="CB27" s="475"/>
      <c r="CC27" s="475"/>
      <c r="CD27" s="89"/>
      <c r="CE27" s="89"/>
      <c r="CF27" s="89"/>
      <c r="CG27" s="89"/>
      <c r="CH27" s="89"/>
      <c r="CI27" s="89"/>
      <c r="CJ27" s="89"/>
      <c r="CK27" s="89"/>
    </row>
    <row r="28" spans="2:89" ht="24.75" customHeight="1">
      <c r="B28" s="437" t="s">
        <v>58</v>
      </c>
      <c r="C28" s="438"/>
      <c r="D28" s="438"/>
      <c r="E28" s="438"/>
      <c r="F28" s="439"/>
      <c r="G28" s="401"/>
      <c r="H28" s="401"/>
      <c r="I28" s="401"/>
      <c r="J28" s="401"/>
      <c r="K28" s="401"/>
      <c r="L28" s="401"/>
      <c r="M28" s="401"/>
      <c r="N28" s="402"/>
      <c r="O28" s="403"/>
      <c r="P28" s="403"/>
      <c r="Q28" s="403"/>
      <c r="R28" s="403"/>
      <c r="S28" s="403"/>
      <c r="T28" s="403"/>
      <c r="U28" s="404"/>
      <c r="V28" s="390"/>
      <c r="W28" s="390"/>
      <c r="X28" s="390"/>
      <c r="Y28" s="390"/>
      <c r="Z28" s="390"/>
      <c r="AA28" s="390"/>
      <c r="AB28" s="390"/>
      <c r="AC28" s="390"/>
      <c r="AD28" s="390"/>
      <c r="AE28" s="390"/>
      <c r="AF28" s="390"/>
      <c r="AG28" s="390"/>
      <c r="AH28" s="390"/>
      <c r="AI28" s="390"/>
      <c r="AJ28" s="391"/>
      <c r="AK28" s="392"/>
      <c r="AL28" s="392"/>
      <c r="AM28" s="392"/>
      <c r="AN28" s="392"/>
      <c r="AO28" s="393"/>
      <c r="AP28" s="409"/>
      <c r="AQ28" s="410"/>
      <c r="AR28" s="410"/>
      <c r="AS28" s="410"/>
      <c r="AT28" s="411"/>
      <c r="AU28" s="387"/>
      <c r="AV28" s="388"/>
      <c r="AW28" s="388"/>
      <c r="AX28" s="388"/>
      <c r="AY28" s="388"/>
      <c r="AZ28" s="388"/>
      <c r="BA28" s="388"/>
      <c r="BB28" s="388"/>
      <c r="BC28" s="389"/>
      <c r="BD28" s="85"/>
      <c r="BE28" s="83"/>
      <c r="BF28" s="71"/>
      <c r="BG28" s="84"/>
      <c r="BH28" s="84"/>
      <c r="BI28" s="84"/>
      <c r="BJ28" s="84"/>
      <c r="BM28" s="88">
        <f>IF(SUM(BM17:BM24)=0,1,SUM(BM17:BM24))</f>
        <v>1</v>
      </c>
      <c r="BN28" s="88">
        <f>SUM(BN17:BN24)</f>
        <v>0</v>
      </c>
      <c r="BS28" s="79">
        <f t="shared" ref="BS28:BY28" si="21">SUM(BS17:BS24)</f>
        <v>0</v>
      </c>
      <c r="BT28" s="79">
        <f t="shared" si="21"/>
        <v>0</v>
      </c>
      <c r="BU28" s="79">
        <f t="shared" si="21"/>
        <v>0</v>
      </c>
      <c r="BV28" s="79">
        <f t="shared" si="21"/>
        <v>0</v>
      </c>
      <c r="BW28" s="79">
        <f t="shared" si="21"/>
        <v>0</v>
      </c>
      <c r="BX28" s="79">
        <f t="shared" si="21"/>
        <v>0</v>
      </c>
      <c r="BY28" s="79">
        <f t="shared" si="21"/>
        <v>0</v>
      </c>
      <c r="CA28" s="469" t="s">
        <v>57</v>
      </c>
      <c r="CB28" s="469"/>
      <c r="CC28" s="469"/>
      <c r="CD28" s="461" t="s">
        <v>36</v>
      </c>
      <c r="CE28" s="461"/>
      <c r="CF28" s="461"/>
      <c r="CG28" s="461"/>
      <c r="CH28" s="461"/>
      <c r="CI28" s="461"/>
      <c r="CJ28" s="461"/>
      <c r="CK28" s="461"/>
    </row>
    <row r="29" spans="2:89" ht="24.75" customHeight="1">
      <c r="B29" s="428" t="s">
        <v>56</v>
      </c>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8"/>
      <c r="AL29" s="428"/>
      <c r="AM29" s="428"/>
      <c r="AN29" s="428"/>
      <c r="AO29" s="428"/>
      <c r="AP29" s="429"/>
      <c r="AQ29" s="429"/>
      <c r="AR29" s="429"/>
      <c r="AS29" s="429"/>
      <c r="AT29" s="429"/>
      <c r="AU29" s="428"/>
      <c r="AV29" s="428"/>
      <c r="AW29" s="428"/>
      <c r="AX29" s="428"/>
      <c r="AY29" s="428"/>
      <c r="AZ29" s="428"/>
      <c r="BA29" s="428"/>
      <c r="BB29" s="428"/>
      <c r="BC29" s="428"/>
      <c r="BD29" s="85"/>
      <c r="BE29" s="83"/>
      <c r="BF29" s="71"/>
      <c r="BG29" s="84"/>
      <c r="BH29" s="84"/>
      <c r="BI29" s="84"/>
      <c r="BJ29" s="84"/>
      <c r="CA29" s="62" t="s">
        <v>33</v>
      </c>
      <c r="CB29" s="469" t="s">
        <v>32</v>
      </c>
      <c r="CC29" s="462"/>
      <c r="CD29" s="61" t="s">
        <v>31</v>
      </c>
      <c r="CE29" s="61" t="s">
        <v>30</v>
      </c>
      <c r="CF29" s="61" t="s">
        <v>29</v>
      </c>
      <c r="CG29" s="61" t="s">
        <v>28</v>
      </c>
      <c r="CH29" s="61" t="s">
        <v>27</v>
      </c>
      <c r="CI29" s="61" t="s">
        <v>26</v>
      </c>
      <c r="CJ29" s="61" t="s">
        <v>25</v>
      </c>
      <c r="CK29" s="61" t="s">
        <v>24</v>
      </c>
    </row>
    <row r="30" spans="2:89" ht="24.75" customHeight="1">
      <c r="B30" s="429" t="s">
        <v>55</v>
      </c>
      <c r="C30" s="429"/>
      <c r="D30" s="429"/>
      <c r="E30" s="429"/>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M30" s="429"/>
      <c r="AN30" s="429"/>
      <c r="AO30" s="429"/>
      <c r="AP30" s="429"/>
      <c r="AQ30" s="429"/>
      <c r="AR30" s="429"/>
      <c r="AS30" s="429"/>
      <c r="AT30" s="429"/>
      <c r="AU30" s="429"/>
      <c r="AV30" s="429"/>
      <c r="AW30" s="429"/>
      <c r="AX30" s="429"/>
      <c r="AY30" s="429"/>
      <c r="AZ30" s="429"/>
      <c r="BA30" s="429"/>
      <c r="BB30" s="429"/>
      <c r="BC30" s="429"/>
      <c r="BD30" s="85"/>
      <c r="BE30" s="83"/>
      <c r="BF30" s="71"/>
      <c r="BG30" s="84"/>
      <c r="BH30" s="84"/>
      <c r="BI30" s="84"/>
      <c r="BJ30" s="84"/>
      <c r="CA30" s="87">
        <v>0</v>
      </c>
      <c r="CB30" s="86"/>
      <c r="CC30" s="56">
        <v>600000</v>
      </c>
      <c r="CD30" s="55">
        <f>IF($V21&lt;$CC30,0,$V21-$CC30)</f>
        <v>0</v>
      </c>
      <c r="CE30" s="55">
        <f>IF($V22&lt;$CC30,0,$V22-$CC30)</f>
        <v>0</v>
      </c>
      <c r="CF30" s="55">
        <f>IF($V23&lt;$CC30,0,$V23-$CC30)</f>
        <v>0</v>
      </c>
      <c r="CG30" s="55">
        <f>IF($V24&lt;$CC30,0,$V24-$CC30)</f>
        <v>0</v>
      </c>
      <c r="CH30" s="55">
        <f>IF($V25&lt;$CC30,0,$V25-$CC30)</f>
        <v>0</v>
      </c>
      <c r="CI30" s="55">
        <f>IF($V26&lt;$CC30,0,$V26-$CC30)</f>
        <v>0</v>
      </c>
      <c r="CJ30" s="55">
        <f>IF($V27&lt;$CC30,0,$V27-$CC30)</f>
        <v>0</v>
      </c>
      <c r="CK30" s="55">
        <f>IF($V28&lt;$CC30,0,$V28-$CC30)</f>
        <v>0</v>
      </c>
    </row>
    <row r="31" spans="2:89" ht="24.75" customHeight="1">
      <c r="B31" s="429" t="s">
        <v>54</v>
      </c>
      <c r="C31" s="429"/>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429"/>
      <c r="BA31" s="429"/>
      <c r="BB31" s="429"/>
      <c r="BC31" s="429"/>
      <c r="BD31" s="85"/>
      <c r="BE31" s="83"/>
      <c r="BF31" s="71"/>
      <c r="BG31" s="1"/>
      <c r="BH31" s="1"/>
      <c r="BI31" s="1"/>
      <c r="BJ31" s="1"/>
      <c r="BS31" s="84"/>
      <c r="BT31" s="84"/>
      <c r="BU31" s="84"/>
      <c r="BV31" s="84"/>
      <c r="CA31" s="51">
        <v>1300000</v>
      </c>
      <c r="CB31" s="78">
        <v>0.75</v>
      </c>
      <c r="CC31" s="49">
        <v>275000</v>
      </c>
      <c r="CD31" s="48">
        <f>INT($V21*$CB31-$CC31)</f>
        <v>-275000</v>
      </c>
      <c r="CE31" s="48">
        <f>INT($V22*$CB31-$CC31)</f>
        <v>-275000</v>
      </c>
      <c r="CF31" s="48">
        <f>INT($V23*$CB31-$CC31)</f>
        <v>-275000</v>
      </c>
      <c r="CG31" s="48">
        <f>INT($V24*$CB31-$CC31)</f>
        <v>-275000</v>
      </c>
      <c r="CH31" s="48">
        <f>INT($V25*$CB31-$CC31)</f>
        <v>-275000</v>
      </c>
      <c r="CI31" s="48">
        <f>INT($V26*$CB31-$CC31)</f>
        <v>-275000</v>
      </c>
      <c r="CJ31" s="48">
        <f>INT($V27*$CB31-$CC31)</f>
        <v>-275000</v>
      </c>
      <c r="CK31" s="48">
        <f>INT($V28*$CB31-$CC31)</f>
        <v>-275000</v>
      </c>
    </row>
    <row r="32" spans="2:89" ht="24.75" customHeight="1">
      <c r="B32" s="432" t="s">
        <v>53</v>
      </c>
      <c r="C32" s="432"/>
      <c r="D32" s="432"/>
      <c r="E32" s="432"/>
      <c r="F32" s="432"/>
      <c r="G32" s="432"/>
      <c r="H32" s="432"/>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2"/>
      <c r="AM32" s="432"/>
      <c r="AN32" s="432"/>
      <c r="AO32" s="432"/>
      <c r="AP32" s="432"/>
      <c r="AQ32" s="432"/>
      <c r="AR32" s="432"/>
      <c r="AS32" s="432"/>
      <c r="AT32" s="432"/>
      <c r="AU32" s="432"/>
      <c r="AV32" s="432"/>
      <c r="AW32" s="432"/>
      <c r="AX32" s="432"/>
      <c r="AY32" s="432"/>
      <c r="AZ32" s="432"/>
      <c r="BA32" s="432"/>
      <c r="BB32" s="432"/>
      <c r="BC32" s="432"/>
      <c r="BE32" s="83"/>
      <c r="BF32" s="71"/>
      <c r="BG32" s="1"/>
      <c r="BH32" s="1"/>
      <c r="BI32" s="1"/>
      <c r="BJ32" s="1"/>
      <c r="BT32" s="82" t="s">
        <v>52</v>
      </c>
      <c r="BU32" s="82" t="s">
        <v>51</v>
      </c>
      <c r="BV32" s="82" t="s">
        <v>50</v>
      </c>
      <c r="CA32" s="51">
        <v>4100000</v>
      </c>
      <c r="CB32" s="78">
        <v>0.85</v>
      </c>
      <c r="CC32" s="49">
        <v>685000</v>
      </c>
      <c r="CD32" s="48">
        <f>INT($V21*$CB32-$CC32)</f>
        <v>-685000</v>
      </c>
      <c r="CE32" s="48">
        <f>INT($V22*$CB32-$CC32)</f>
        <v>-685000</v>
      </c>
      <c r="CF32" s="48">
        <f>INT($V23*$CB32-$CC32)</f>
        <v>-685000</v>
      </c>
      <c r="CG32" s="48">
        <f>INT($V24*$CB32-$CC32)</f>
        <v>-685000</v>
      </c>
      <c r="CH32" s="48">
        <f>INT($V25*$CB32-$CC32)</f>
        <v>-685000</v>
      </c>
      <c r="CI32" s="48">
        <f>INT($V26*$CB32-$CC32)</f>
        <v>-685000</v>
      </c>
      <c r="CJ32" s="48">
        <f>INT($V27*$CB32-$CC32)</f>
        <v>-685000</v>
      </c>
      <c r="CK32" s="48">
        <f>INT($V28*$CB32-$CC32)</f>
        <v>-685000</v>
      </c>
    </row>
    <row r="33" spans="1:89" ht="24.75" customHeight="1">
      <c r="B33" s="81"/>
      <c r="C33" s="81"/>
      <c r="D33" s="433" t="s">
        <v>49</v>
      </c>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3"/>
      <c r="AO33" s="433"/>
      <c r="AP33" s="433"/>
      <c r="AQ33" s="433"/>
      <c r="AR33" s="433"/>
      <c r="AS33" s="433"/>
      <c r="AT33" s="433"/>
      <c r="AU33" s="433"/>
      <c r="AV33" s="433"/>
      <c r="AW33" s="433"/>
      <c r="AX33" s="433"/>
      <c r="AY33" s="433"/>
      <c r="AZ33" s="433"/>
      <c r="BA33" s="433"/>
      <c r="BB33" s="433"/>
      <c r="BC33" s="433"/>
      <c r="BG33" s="12" t="s">
        <v>48</v>
      </c>
      <c r="BH33" s="1"/>
      <c r="BI33" s="1"/>
      <c r="BJ33" s="1"/>
      <c r="BK33" s="1"/>
      <c r="BL33" s="1"/>
      <c r="BM33" s="1"/>
      <c r="BN33" s="1"/>
      <c r="BS33" s="80" t="s">
        <v>47</v>
      </c>
      <c r="BT33" s="79">
        <f>IF(SUM(BU17:BU24)&gt;0,BT10+(100000*(BM28-1)),0)</f>
        <v>0</v>
      </c>
      <c r="BU33" s="79" t="b">
        <f>IF(SUM(BU17:BU24)&gt;0,BT10+BU10*BN28+(100000*(BM28-1)))</f>
        <v>0</v>
      </c>
      <c r="BV33" s="79" t="b">
        <f>IF(SUM(BU17:BU24)&gt;0,BT10+BV10*BN28+(100000*(BM28-1)))</f>
        <v>0</v>
      </c>
      <c r="CA33" s="51">
        <v>7700000</v>
      </c>
      <c r="CB33" s="78">
        <v>0.95</v>
      </c>
      <c r="CC33" s="49">
        <v>1455000</v>
      </c>
      <c r="CD33" s="48">
        <f>INT($V21*$CB33-$CC33)</f>
        <v>-1455000</v>
      </c>
      <c r="CE33" s="48">
        <f>INT($V22*$CB33-$CC33)</f>
        <v>-1455000</v>
      </c>
      <c r="CF33" s="48">
        <f>INT($V23*$CB33-$CC33)</f>
        <v>-1455000</v>
      </c>
      <c r="CG33" s="48">
        <f>INT($V24*$CB33-$CC33)</f>
        <v>-1455000</v>
      </c>
      <c r="CH33" s="48">
        <f>INT($V25*$CB33-$CC33)</f>
        <v>-1455000</v>
      </c>
      <c r="CI33" s="48">
        <f>INT($V26*$CB33-$CC33)</f>
        <v>-1455000</v>
      </c>
      <c r="CJ33" s="48">
        <f>INT($V27*$CB33-$CC33)</f>
        <v>-1455000</v>
      </c>
      <c r="CK33" s="48">
        <f>INT($V28*$CB33-$CC33)</f>
        <v>-1455000</v>
      </c>
    </row>
    <row r="34" spans="1:89" ht="24.75" customHeight="1">
      <c r="B34" s="64"/>
      <c r="C34" s="64"/>
      <c r="D34" s="64"/>
      <c r="E34" s="64"/>
      <c r="F34" s="64"/>
      <c r="G34" s="73"/>
      <c r="H34" s="73"/>
      <c r="I34" s="73"/>
      <c r="J34" s="73"/>
      <c r="K34" s="73"/>
      <c r="L34" s="73"/>
      <c r="M34" s="73"/>
      <c r="N34" s="72"/>
      <c r="O34" s="72"/>
      <c r="P34" s="72"/>
      <c r="Q34" s="72"/>
      <c r="R34" s="72"/>
      <c r="S34" s="72"/>
      <c r="T34" s="72"/>
      <c r="U34" s="72"/>
      <c r="V34" s="72"/>
      <c r="W34" s="72"/>
      <c r="X34" s="72"/>
      <c r="Y34" s="72"/>
      <c r="Z34" s="72"/>
      <c r="AA34" s="72"/>
      <c r="AB34" s="72"/>
      <c r="AC34" s="72"/>
      <c r="AD34" s="72"/>
      <c r="AE34" s="72"/>
      <c r="AF34" s="72"/>
      <c r="AG34" s="72"/>
      <c r="AH34" s="72"/>
      <c r="AI34" s="72"/>
      <c r="AJ34" s="71"/>
      <c r="AK34" s="71"/>
      <c r="AL34" s="71"/>
      <c r="AM34" s="71"/>
      <c r="AN34" s="71"/>
      <c r="AO34" s="71"/>
      <c r="AP34" s="71"/>
      <c r="AQ34" s="71"/>
      <c r="AR34" s="71"/>
      <c r="AS34" s="71"/>
      <c r="AT34" s="71"/>
      <c r="AU34" s="71"/>
      <c r="AV34" s="71"/>
      <c r="AW34" s="71"/>
      <c r="AX34" s="71"/>
      <c r="AY34" s="71"/>
      <c r="AZ34" s="71"/>
      <c r="BA34" s="71"/>
      <c r="BB34" s="71"/>
      <c r="BC34" s="71"/>
      <c r="BG34" s="377" t="s">
        <v>46</v>
      </c>
      <c r="BH34" s="378"/>
      <c r="BI34" s="372" t="s">
        <v>45</v>
      </c>
      <c r="BJ34" s="373"/>
      <c r="BK34" s="374"/>
      <c r="BL34" s="372" t="s">
        <v>44</v>
      </c>
      <c r="BM34" s="373"/>
      <c r="BN34" s="374"/>
      <c r="BS34" s="67" t="s">
        <v>43</v>
      </c>
      <c r="BT34" s="77" t="str">
        <f>IF(BN28&gt;0,IF(BS28&lt;=BT33,"７割軽減",IF(BS28&lt;=BU33,"５割軽減",IF(BS28&lt;=BV33,"２割軽減","軽減非該当"))),"")</f>
        <v/>
      </c>
      <c r="CA34" s="76">
        <v>10000000</v>
      </c>
      <c r="CB34" s="75"/>
      <c r="CC34" s="74">
        <v>1955000</v>
      </c>
      <c r="CD34" s="40">
        <f>$V21-$CC34</f>
        <v>-1955000</v>
      </c>
      <c r="CE34" s="40">
        <f>$V22-$CC34</f>
        <v>-1955000</v>
      </c>
      <c r="CF34" s="40">
        <f>$V23-$CC34</f>
        <v>-1955000</v>
      </c>
      <c r="CG34" s="40">
        <f>$V24-$CC34</f>
        <v>-1955000</v>
      </c>
      <c r="CH34" s="40">
        <f>$V25-$CC34</f>
        <v>-1955000</v>
      </c>
      <c r="CI34" s="40">
        <f>$V26-$CC34</f>
        <v>-1955000</v>
      </c>
      <c r="CJ34" s="40">
        <f>$V27-$CC34</f>
        <v>-1955000</v>
      </c>
      <c r="CK34" s="40">
        <f>$V28-$CC34</f>
        <v>-1955000</v>
      </c>
    </row>
    <row r="35" spans="1:89" ht="24.75" customHeight="1">
      <c r="A35" s="12" t="s">
        <v>42</v>
      </c>
      <c r="B35" s="12"/>
      <c r="C35" s="64"/>
      <c r="D35" s="64"/>
      <c r="E35" s="64"/>
      <c r="F35" s="64"/>
      <c r="G35" s="73"/>
      <c r="H35" s="73"/>
      <c r="I35" s="73"/>
      <c r="J35" s="73"/>
      <c r="K35" s="73"/>
      <c r="L35" s="73"/>
      <c r="M35" s="73"/>
      <c r="N35" s="72"/>
      <c r="O35" s="72"/>
      <c r="P35" s="72"/>
      <c r="Q35" s="72"/>
      <c r="R35" s="72"/>
      <c r="S35" s="72"/>
      <c r="T35" s="72"/>
      <c r="U35" s="72"/>
      <c r="V35" s="72"/>
      <c r="W35" s="72"/>
      <c r="X35" s="72"/>
      <c r="Y35" s="72"/>
      <c r="Z35" s="72"/>
      <c r="AA35" s="72"/>
      <c r="AB35" s="72"/>
      <c r="AC35" s="72"/>
      <c r="AD35" s="72"/>
      <c r="AE35" s="72"/>
      <c r="AF35" s="72"/>
      <c r="AG35" s="72"/>
      <c r="AH35" s="72"/>
      <c r="AI35" s="72"/>
      <c r="AJ35" s="71"/>
      <c r="AK35" s="71"/>
      <c r="AL35" s="71"/>
      <c r="AM35" s="71"/>
      <c r="AN35" s="71"/>
      <c r="AO35" s="71"/>
      <c r="AP35" s="71"/>
      <c r="AQ35" s="71"/>
      <c r="AR35" s="71"/>
      <c r="AS35" s="71"/>
      <c r="AT35" s="71"/>
      <c r="AU35" s="71"/>
      <c r="AV35" s="71"/>
      <c r="AW35" s="71"/>
      <c r="AX35" s="71"/>
      <c r="AY35" s="71"/>
      <c r="AZ35" s="71"/>
      <c r="BA35" s="71"/>
      <c r="BB35" s="71"/>
      <c r="BC35" s="71"/>
      <c r="BD35" s="52"/>
      <c r="BG35" s="379"/>
      <c r="BH35" s="380"/>
      <c r="BI35" s="70" t="s">
        <v>41</v>
      </c>
      <c r="BJ35" s="69" t="s">
        <v>40</v>
      </c>
      <c r="BK35" s="68" t="s">
        <v>39</v>
      </c>
      <c r="BL35" s="70" t="s">
        <v>41</v>
      </c>
      <c r="BM35" s="69" t="s">
        <v>40</v>
      </c>
      <c r="BN35" s="68" t="s">
        <v>39</v>
      </c>
      <c r="BS35" s="67" t="s">
        <v>38</v>
      </c>
      <c r="BT35" s="66">
        <f>IF(BT34="７割軽減",30%,IF(BT34="５割軽減",50%,IF(BT34="２割軽減",80%,100%)))</f>
        <v>1</v>
      </c>
      <c r="BU35" s="65"/>
      <c r="CA35" s="476" t="s">
        <v>37</v>
      </c>
      <c r="CB35" s="477"/>
      <c r="CC35" s="478"/>
      <c r="CD35" s="461" t="s">
        <v>36</v>
      </c>
      <c r="CE35" s="461"/>
      <c r="CF35" s="461"/>
      <c r="CG35" s="461"/>
      <c r="CH35" s="461"/>
      <c r="CI35" s="461"/>
      <c r="CJ35" s="461"/>
      <c r="CK35" s="461"/>
    </row>
    <row r="36" spans="1:89" ht="24.75" customHeight="1">
      <c r="B36" s="64" t="s">
        <v>35</v>
      </c>
      <c r="C36" s="64"/>
      <c r="G36" s="63"/>
      <c r="H36" s="10"/>
      <c r="I36" s="10"/>
      <c r="BD36" s="52"/>
      <c r="BE36" s="59"/>
      <c r="BF36" s="52"/>
      <c r="BG36" s="375" t="s">
        <v>34</v>
      </c>
      <c r="BH36" s="376"/>
      <c r="BI36" s="46">
        <f>IF($C$14="","",SUM(BT17:BT24))</f>
        <v>0</v>
      </c>
      <c r="BJ36" s="45">
        <f>IF($C$14="","",SUM(BV17:BV24))</f>
        <v>0</v>
      </c>
      <c r="BK36" s="44">
        <f>IF($C$14="","",SUM(BX17:BX24))</f>
        <v>0</v>
      </c>
      <c r="BL36" s="46">
        <f>IF($C$14="","",SUM(BT17:BT24))</f>
        <v>0</v>
      </c>
      <c r="BM36" s="45">
        <f>IF($C$14="","",SUM(BV17:BV24))</f>
        <v>0</v>
      </c>
      <c r="BN36" s="44">
        <f>IF($C$14="","",SUM(BX17:BX24))</f>
        <v>0</v>
      </c>
      <c r="CA36" s="62" t="s">
        <v>33</v>
      </c>
      <c r="CB36" s="462" t="s">
        <v>32</v>
      </c>
      <c r="CC36" s="463"/>
      <c r="CD36" s="61" t="s">
        <v>31</v>
      </c>
      <c r="CE36" s="61" t="s">
        <v>30</v>
      </c>
      <c r="CF36" s="61" t="s">
        <v>29</v>
      </c>
      <c r="CG36" s="61" t="s">
        <v>28</v>
      </c>
      <c r="CH36" s="61" t="s">
        <v>27</v>
      </c>
      <c r="CI36" s="61" t="s">
        <v>26</v>
      </c>
      <c r="CJ36" s="61" t="s">
        <v>25</v>
      </c>
      <c r="CK36" s="61" t="s">
        <v>24</v>
      </c>
    </row>
    <row r="37" spans="1:89" ht="24.75" customHeight="1">
      <c r="J37" s="394" t="s">
        <v>23</v>
      </c>
      <c r="K37" s="395"/>
      <c r="L37" s="395"/>
      <c r="M37" s="395"/>
      <c r="N37" s="395"/>
      <c r="O37" s="395"/>
      <c r="P37" s="395"/>
      <c r="Q37" s="395"/>
      <c r="R37" s="395"/>
      <c r="S37" s="395"/>
      <c r="T37" s="396"/>
      <c r="V37" s="397" t="s">
        <v>22</v>
      </c>
      <c r="W37" s="398"/>
      <c r="X37" s="398"/>
      <c r="Y37" s="398"/>
      <c r="Z37" s="398"/>
      <c r="AA37" s="398"/>
      <c r="AB37" s="398"/>
      <c r="AC37" s="398"/>
      <c r="AD37" s="398"/>
      <c r="AE37" s="398"/>
      <c r="AF37" s="399"/>
      <c r="AG37" s="10"/>
      <c r="AH37" s="407" t="s">
        <v>21</v>
      </c>
      <c r="AI37" s="408"/>
      <c r="AJ37" s="408"/>
      <c r="AK37" s="408"/>
      <c r="AL37" s="408"/>
      <c r="AM37" s="408"/>
      <c r="AN37" s="408"/>
      <c r="AO37" s="408"/>
      <c r="AP37" s="408"/>
      <c r="AQ37" s="408"/>
      <c r="AR37" s="408"/>
      <c r="AS37" s="60"/>
      <c r="AT37" s="52"/>
      <c r="AU37" s="52"/>
      <c r="AV37" s="52"/>
      <c r="AW37" s="52"/>
      <c r="AX37" s="52"/>
      <c r="AY37" s="52"/>
      <c r="AZ37" s="52"/>
      <c r="BA37" s="52"/>
      <c r="BB37" s="52"/>
      <c r="BE37" s="59"/>
      <c r="BF37" s="52"/>
      <c r="BG37" s="375" t="s">
        <v>20</v>
      </c>
      <c r="BH37" s="376"/>
      <c r="BI37" s="46">
        <f>IF($C$14="","",SUM(BU17:BU24)*BT35)</f>
        <v>0</v>
      </c>
      <c r="BJ37" s="45">
        <f>IF($C$14="","",SUM(BW17:BW24)*BT35)</f>
        <v>0</v>
      </c>
      <c r="BK37" s="44">
        <f>IF($C$14="","",SUM(BY17:BY24)*BT35)</f>
        <v>0</v>
      </c>
      <c r="BL37" s="46">
        <f>IF($C$14="","",SUM(BU17:BU24))</f>
        <v>0</v>
      </c>
      <c r="BM37" s="45">
        <f>IF($C$14="","",SUM(BW17:BW24))</f>
        <v>0</v>
      </c>
      <c r="BN37" s="44">
        <f>IF($C$14="","",SUM(BY17:BY24))</f>
        <v>0</v>
      </c>
      <c r="CA37" s="58">
        <v>0</v>
      </c>
      <c r="CB37" s="57"/>
      <c r="CC37" s="56">
        <v>1100000</v>
      </c>
      <c r="CD37" s="55">
        <f>IF($V21&lt;$CC37,0,$V21-$CC37)</f>
        <v>0</v>
      </c>
      <c r="CE37" s="55">
        <f>IF($V22&lt;$CC37,0,$V22-$CC37)</f>
        <v>0</v>
      </c>
      <c r="CF37" s="55">
        <f>IF($V23&lt;$CC37,0,$V23-$CC37)</f>
        <v>0</v>
      </c>
      <c r="CG37" s="55">
        <f>IF($V24&lt;$CC37,0,$V24-$CC37)</f>
        <v>0</v>
      </c>
      <c r="CH37" s="55">
        <f>IF($V25&lt;$CC37,0,$V25-$CC37)</f>
        <v>0</v>
      </c>
      <c r="CI37" s="55">
        <f>IF($V26&lt;$CC37,0,$V26-$CC37)</f>
        <v>0</v>
      </c>
      <c r="CJ37" s="55">
        <f>IF($V27&lt;$CC37,0,$V27-$CC37)</f>
        <v>0</v>
      </c>
      <c r="CK37" s="55">
        <f>IF($V28&lt;$CC37,0,$V28-$CC37)</f>
        <v>0</v>
      </c>
    </row>
    <row r="38" spans="1:89" ht="24.75" customHeight="1">
      <c r="J38" s="417" t="s">
        <v>19</v>
      </c>
      <c r="K38" s="418"/>
      <c r="L38" s="418"/>
      <c r="M38" s="418"/>
      <c r="N38" s="418"/>
      <c r="O38" s="418"/>
      <c r="P38" s="418"/>
      <c r="Q38" s="418"/>
      <c r="R38" s="418"/>
      <c r="S38" s="418"/>
      <c r="T38" s="419"/>
      <c r="V38" s="420" t="s">
        <v>19</v>
      </c>
      <c r="W38" s="421"/>
      <c r="X38" s="421"/>
      <c r="Y38" s="421"/>
      <c r="Z38" s="421"/>
      <c r="AA38" s="421"/>
      <c r="AB38" s="421"/>
      <c r="AC38" s="421"/>
      <c r="AD38" s="421"/>
      <c r="AE38" s="421"/>
      <c r="AF38" s="422"/>
      <c r="AG38" s="10"/>
      <c r="AH38" s="430" t="s">
        <v>18</v>
      </c>
      <c r="AI38" s="431"/>
      <c r="AJ38" s="431"/>
      <c r="AK38" s="431"/>
      <c r="AL38" s="431"/>
      <c r="AM38" s="431"/>
      <c r="AN38" s="431"/>
      <c r="AO38" s="431"/>
      <c r="AP38" s="431"/>
      <c r="AQ38" s="431"/>
      <c r="AR38" s="431"/>
      <c r="AS38" s="54"/>
      <c r="AT38" s="52"/>
      <c r="AU38" s="52"/>
      <c r="AV38" s="52"/>
      <c r="AW38" s="52"/>
      <c r="AX38" s="52"/>
      <c r="AY38" s="52"/>
      <c r="AZ38" s="52"/>
      <c r="BA38" s="52"/>
      <c r="BB38" s="52"/>
      <c r="BC38" s="52"/>
      <c r="BG38" s="375" t="s">
        <v>17</v>
      </c>
      <c r="BH38" s="376"/>
      <c r="BI38" s="46">
        <f t="shared" ref="BI38:BN38" si="22">IF($C$14="","",TRUNC(BI36+BI37,-2))</f>
        <v>0</v>
      </c>
      <c r="BJ38" s="45">
        <f t="shared" si="22"/>
        <v>0</v>
      </c>
      <c r="BK38" s="44">
        <f t="shared" si="22"/>
        <v>0</v>
      </c>
      <c r="BL38" s="46">
        <f t="shared" si="22"/>
        <v>0</v>
      </c>
      <c r="BM38" s="45">
        <f t="shared" si="22"/>
        <v>0</v>
      </c>
      <c r="BN38" s="44">
        <f t="shared" si="22"/>
        <v>0</v>
      </c>
      <c r="CA38" s="51">
        <v>3300000</v>
      </c>
      <c r="CB38" s="50">
        <v>0.75</v>
      </c>
      <c r="CC38" s="49">
        <v>275000</v>
      </c>
      <c r="CD38" s="48">
        <f>INT($V21*$CB38-$CC38)</f>
        <v>-275000</v>
      </c>
      <c r="CE38" s="48">
        <f>INT($V22*$CB38-$CC38)</f>
        <v>-275000</v>
      </c>
      <c r="CF38" s="48">
        <f>INT($V23*$CB38-$CC38)</f>
        <v>-275000</v>
      </c>
      <c r="CG38" s="48">
        <f>INT($V24*$CB38-$CC38)</f>
        <v>-275000</v>
      </c>
      <c r="CH38" s="48">
        <f>INT($V25*$CB38-$CC38)</f>
        <v>-275000</v>
      </c>
      <c r="CI38" s="48">
        <f>INT($V26*$CB38-$CC38)</f>
        <v>-275000</v>
      </c>
      <c r="CJ38" s="48">
        <f>INT($V27*$CB38-$CC38)</f>
        <v>-275000</v>
      </c>
      <c r="CK38" s="48">
        <f>INT($V28*$CB38-$CC38)</f>
        <v>-275000</v>
      </c>
    </row>
    <row r="39" spans="1:89" ht="24.75" customHeight="1">
      <c r="B39" s="10"/>
      <c r="C39" s="10"/>
      <c r="D39" s="10"/>
      <c r="E39" s="10"/>
      <c r="F39" s="10"/>
      <c r="J39" s="30"/>
      <c r="L39" s="53"/>
      <c r="T39" s="36"/>
      <c r="V39" s="30"/>
      <c r="AF39" s="36"/>
      <c r="AH39" s="30"/>
      <c r="AS39" s="30"/>
      <c r="BC39" s="52"/>
      <c r="BG39" s="375" t="s">
        <v>16</v>
      </c>
      <c r="BH39" s="376"/>
      <c r="BI39" s="46">
        <f>IF($C$14="","",IF(BI38&gt;$BU$7,BI38-$BU$7,0))</f>
        <v>0</v>
      </c>
      <c r="BJ39" s="45">
        <f>IF($C$14="","",IF(BJ38&gt;$BW$7,BJ38-$BW$7,0))</f>
        <v>0</v>
      </c>
      <c r="BK39" s="44">
        <f>IF($C$14="","",IF(BK38&gt;$BY$7,BK38-$BY$7,0))</f>
        <v>0</v>
      </c>
      <c r="BL39" s="46">
        <f>IF($C$14="","",IF(BL38&gt;$BU$7,BL38-$BU$7,0))</f>
        <v>0</v>
      </c>
      <c r="BM39" s="45">
        <f>IF($C$14="","",IF(BM38&gt;$BW$7,BM38-$BW$7,0))</f>
        <v>0</v>
      </c>
      <c r="BN39" s="44">
        <f>IF($C$14="","",IF(BN38&gt;$BY$7,BN38-$BY$7,0))</f>
        <v>0</v>
      </c>
      <c r="CA39" s="51">
        <v>4100000</v>
      </c>
      <c r="CB39" s="50">
        <v>0.85</v>
      </c>
      <c r="CC39" s="49">
        <v>685000</v>
      </c>
      <c r="CD39" s="48">
        <f>INT($V21*$CB39-$CC39)</f>
        <v>-685000</v>
      </c>
      <c r="CE39" s="48">
        <f>INT($V22*$CB39-$CC39)</f>
        <v>-685000</v>
      </c>
      <c r="CF39" s="48">
        <f>INT($V23*$CB39-$CC39)</f>
        <v>-685000</v>
      </c>
      <c r="CG39" s="48">
        <f>INT($V24*$CB39-$CC39)</f>
        <v>-685000</v>
      </c>
      <c r="CH39" s="48">
        <f>INT($V25*$CB39-$CC39)</f>
        <v>-685000</v>
      </c>
      <c r="CI39" s="48">
        <f>INT($V26*$CB39-$CC39)</f>
        <v>-685000</v>
      </c>
      <c r="CJ39" s="48">
        <f>INT($V27*$CB39-$CC39)</f>
        <v>-685000</v>
      </c>
      <c r="CK39" s="48">
        <f>INT($V28*$CB39-$CC39)</f>
        <v>-685000</v>
      </c>
    </row>
    <row r="40" spans="1:89" ht="24.75" customHeight="1">
      <c r="B40" s="412" t="s">
        <v>15</v>
      </c>
      <c r="C40" s="412"/>
      <c r="D40" s="412"/>
      <c r="E40" s="412"/>
      <c r="F40" s="412"/>
      <c r="G40" s="412"/>
      <c r="H40" s="412"/>
      <c r="I40" s="413"/>
      <c r="J40" s="37"/>
      <c r="L40" s="384">
        <f>BI36</f>
        <v>0</v>
      </c>
      <c r="M40" s="385"/>
      <c r="N40" s="385"/>
      <c r="O40" s="385"/>
      <c r="P40" s="385"/>
      <c r="Q40" s="385"/>
      <c r="R40" s="386"/>
      <c r="T40" s="36"/>
      <c r="V40" s="30"/>
      <c r="X40" s="384">
        <f>BJ36</f>
        <v>0</v>
      </c>
      <c r="Y40" s="385"/>
      <c r="Z40" s="385"/>
      <c r="AA40" s="385"/>
      <c r="AB40" s="385"/>
      <c r="AC40" s="385"/>
      <c r="AD40" s="386"/>
      <c r="AE40" s="11"/>
      <c r="AF40" s="47"/>
      <c r="AG40" s="11"/>
      <c r="AH40" s="30"/>
      <c r="AJ40" s="384">
        <f>BK36</f>
        <v>0</v>
      </c>
      <c r="AK40" s="385"/>
      <c r="AL40" s="385"/>
      <c r="AM40" s="385"/>
      <c r="AN40" s="385"/>
      <c r="AO40" s="385"/>
      <c r="AP40" s="385"/>
      <c r="AQ40" s="35"/>
      <c r="AR40" s="34"/>
      <c r="AS40" s="30"/>
      <c r="BG40" s="375" t="s">
        <v>14</v>
      </c>
      <c r="BH40" s="376"/>
      <c r="BI40" s="46">
        <f t="shared" ref="BI40:BN40" si="23">IF($C$14="","",BI38-BI39)</f>
        <v>0</v>
      </c>
      <c r="BJ40" s="45">
        <f t="shared" si="23"/>
        <v>0</v>
      </c>
      <c r="BK40" s="44">
        <f t="shared" si="23"/>
        <v>0</v>
      </c>
      <c r="BL40" s="46">
        <f t="shared" si="23"/>
        <v>0</v>
      </c>
      <c r="BM40" s="45">
        <f t="shared" si="23"/>
        <v>0</v>
      </c>
      <c r="BN40" s="44">
        <f t="shared" si="23"/>
        <v>0</v>
      </c>
      <c r="CA40" s="51">
        <v>7700000</v>
      </c>
      <c r="CB40" s="50">
        <v>0.95</v>
      </c>
      <c r="CC40" s="49">
        <v>1455000</v>
      </c>
      <c r="CD40" s="48">
        <f>INT($V21*$CB40-$CC40)</f>
        <v>-1455000</v>
      </c>
      <c r="CE40" s="48">
        <f>INT($V22*$CB40-$CC40)</f>
        <v>-1455000</v>
      </c>
      <c r="CF40" s="48">
        <f>INT($V23*$CB40-$CC40)</f>
        <v>-1455000</v>
      </c>
      <c r="CG40" s="48">
        <f>INT($V24*$CB40-$CC40)</f>
        <v>-1455000</v>
      </c>
      <c r="CH40" s="48">
        <f>INT($V25*$CB40-$CC40)</f>
        <v>-1455000</v>
      </c>
      <c r="CI40" s="48">
        <f>INT($V26*$CB40-$CC40)</f>
        <v>-1455000</v>
      </c>
      <c r="CJ40" s="48">
        <f>INT($V27*$CB40-$CC40)</f>
        <v>-1455000</v>
      </c>
      <c r="CK40" s="48">
        <f>INT($V28*$CB40-$CC40)</f>
        <v>-1455000</v>
      </c>
    </row>
    <row r="41" spans="1:89" ht="24.75" customHeight="1">
      <c r="B41" s="412" t="s">
        <v>13</v>
      </c>
      <c r="C41" s="412"/>
      <c r="D41" s="412"/>
      <c r="E41" s="412"/>
      <c r="F41" s="412"/>
      <c r="G41" s="412"/>
      <c r="H41" s="412"/>
      <c r="I41" s="413"/>
      <c r="J41" s="37"/>
      <c r="L41" s="384">
        <f>BI37</f>
        <v>0</v>
      </c>
      <c r="M41" s="385"/>
      <c r="N41" s="385"/>
      <c r="O41" s="385"/>
      <c r="P41" s="385"/>
      <c r="Q41" s="385"/>
      <c r="R41" s="386"/>
      <c r="T41" s="36"/>
      <c r="V41" s="30"/>
      <c r="X41" s="384">
        <f>BJ37</f>
        <v>0</v>
      </c>
      <c r="Y41" s="385"/>
      <c r="Z41" s="385"/>
      <c r="AA41" s="385"/>
      <c r="AB41" s="385"/>
      <c r="AC41" s="385"/>
      <c r="AD41" s="386"/>
      <c r="AE41" s="11"/>
      <c r="AF41" s="47"/>
      <c r="AG41" s="11"/>
      <c r="AH41" s="30"/>
      <c r="AJ41" s="384">
        <f>BK37</f>
        <v>0</v>
      </c>
      <c r="AK41" s="385"/>
      <c r="AL41" s="385"/>
      <c r="AM41" s="385"/>
      <c r="AN41" s="385"/>
      <c r="AO41" s="385"/>
      <c r="AP41" s="385"/>
      <c r="AQ41" s="35"/>
      <c r="AR41" s="34"/>
      <c r="AS41" s="30"/>
      <c r="BG41" s="375" t="s">
        <v>12</v>
      </c>
      <c r="BH41" s="376"/>
      <c r="BI41" s="46">
        <f t="shared" ref="BI41:BN41" si="24">IF($C$14&lt;&gt;"",TRUNC(BI40/12*LEFT($C$14,LEN($C$14)-2),-2),"")</f>
        <v>0</v>
      </c>
      <c r="BJ41" s="45">
        <f t="shared" si="24"/>
        <v>0</v>
      </c>
      <c r="BK41" s="44">
        <f t="shared" si="24"/>
        <v>0</v>
      </c>
      <c r="BL41" s="46">
        <f t="shared" si="24"/>
        <v>0</v>
      </c>
      <c r="BM41" s="45">
        <f t="shared" si="24"/>
        <v>0</v>
      </c>
      <c r="BN41" s="44">
        <f t="shared" si="24"/>
        <v>0</v>
      </c>
      <c r="BW41" s="19"/>
      <c r="CA41" s="43">
        <v>10000000</v>
      </c>
      <c r="CB41" s="42"/>
      <c r="CC41" s="41">
        <v>1955000</v>
      </c>
      <c r="CD41" s="40">
        <f>$V21-$CC41</f>
        <v>-1955000</v>
      </c>
      <c r="CE41" s="40">
        <f>$V22-$CC41</f>
        <v>-1955000</v>
      </c>
      <c r="CF41" s="40">
        <f>$V23-$CC41</f>
        <v>-1955000</v>
      </c>
      <c r="CG41" s="40">
        <f>$V24-$CC41</f>
        <v>-1955000</v>
      </c>
      <c r="CH41" s="40">
        <f>$V25-$CC41</f>
        <v>-1955000</v>
      </c>
      <c r="CI41" s="40">
        <f>$V26-$CC41</f>
        <v>-1955000</v>
      </c>
      <c r="CJ41" s="40">
        <f>$V27-$CC41</f>
        <v>-1955000</v>
      </c>
      <c r="CK41" s="40">
        <f>$V28-$CC41</f>
        <v>-1955000</v>
      </c>
    </row>
    <row r="42" spans="1:89" ht="24.75" customHeight="1">
      <c r="B42" s="412" t="s">
        <v>11</v>
      </c>
      <c r="C42" s="412"/>
      <c r="D42" s="412"/>
      <c r="E42" s="412"/>
      <c r="F42" s="412"/>
      <c r="G42" s="412"/>
      <c r="H42" s="412"/>
      <c r="I42" s="413"/>
      <c r="J42" s="37"/>
      <c r="L42" s="384">
        <f>BI38</f>
        <v>0</v>
      </c>
      <c r="M42" s="385"/>
      <c r="N42" s="385"/>
      <c r="O42" s="385"/>
      <c r="P42" s="385"/>
      <c r="Q42" s="385"/>
      <c r="R42" s="386"/>
      <c r="T42" s="36"/>
      <c r="V42" s="30"/>
      <c r="X42" s="384">
        <f>BJ38</f>
        <v>0</v>
      </c>
      <c r="Y42" s="385"/>
      <c r="Z42" s="385"/>
      <c r="AA42" s="385"/>
      <c r="AB42" s="385"/>
      <c r="AC42" s="385"/>
      <c r="AD42" s="386"/>
      <c r="AF42" s="36"/>
      <c r="AH42" s="30"/>
      <c r="AJ42" s="384">
        <f>BK38</f>
        <v>0</v>
      </c>
      <c r="AK42" s="385"/>
      <c r="AL42" s="385"/>
      <c r="AM42" s="385"/>
      <c r="AN42" s="385"/>
      <c r="AO42" s="385"/>
      <c r="AP42" s="385"/>
      <c r="AQ42" s="30"/>
      <c r="AS42" s="30"/>
      <c r="BW42" s="19"/>
    </row>
    <row r="43" spans="1:89" ht="24.75" customHeight="1">
      <c r="G43" s="10"/>
      <c r="J43" s="37"/>
      <c r="T43" s="36"/>
      <c r="V43" s="30"/>
      <c r="AC43" s="39"/>
      <c r="AD43" s="6"/>
      <c r="AE43" s="6"/>
      <c r="AF43" s="38"/>
      <c r="AG43" s="6"/>
      <c r="AH43" s="30"/>
      <c r="AS43" s="30"/>
      <c r="BW43" s="19"/>
      <c r="CA43" s="4" t="s">
        <v>10</v>
      </c>
    </row>
    <row r="44" spans="1:89" ht="24.75" customHeight="1">
      <c r="B44" s="423" t="s">
        <v>9</v>
      </c>
      <c r="C44" s="423"/>
      <c r="D44" s="423"/>
      <c r="E44" s="423"/>
      <c r="F44" s="423"/>
      <c r="G44" s="423"/>
      <c r="H44" s="423"/>
      <c r="I44" s="424"/>
      <c r="J44" s="37"/>
      <c r="L44" s="384">
        <f>BI41</f>
        <v>0</v>
      </c>
      <c r="M44" s="385"/>
      <c r="N44" s="385"/>
      <c r="O44" s="385"/>
      <c r="P44" s="385"/>
      <c r="Q44" s="385"/>
      <c r="R44" s="386"/>
      <c r="T44" s="36"/>
      <c r="V44" s="30"/>
      <c r="X44" s="384">
        <f>BJ41</f>
        <v>0</v>
      </c>
      <c r="Y44" s="385"/>
      <c r="Z44" s="385"/>
      <c r="AA44" s="385"/>
      <c r="AB44" s="385"/>
      <c r="AC44" s="385"/>
      <c r="AD44" s="386"/>
      <c r="AF44" s="36"/>
      <c r="AH44" s="30"/>
      <c r="AJ44" s="384">
        <f>BK41</f>
        <v>0</v>
      </c>
      <c r="AK44" s="385"/>
      <c r="AL44" s="385"/>
      <c r="AM44" s="385"/>
      <c r="AN44" s="385"/>
      <c r="AO44" s="385"/>
      <c r="AP44" s="385"/>
      <c r="AQ44" s="35"/>
      <c r="AR44" s="34"/>
      <c r="AS44" s="30"/>
      <c r="BW44" s="19"/>
      <c r="CA44" s="33" t="s">
        <v>8</v>
      </c>
      <c r="CB44" s="464" t="s">
        <v>7</v>
      </c>
      <c r="CC44" s="465"/>
    </row>
    <row r="45" spans="1:89" ht="24.75" customHeight="1">
      <c r="B45" s="405" t="s">
        <v>6</v>
      </c>
      <c r="C45" s="405"/>
      <c r="D45" s="405"/>
      <c r="E45" s="405"/>
      <c r="F45" s="405"/>
      <c r="G45" s="405"/>
      <c r="H45" s="405"/>
      <c r="I45" s="406"/>
      <c r="J45" s="31"/>
      <c r="K45" s="20"/>
      <c r="L45" s="20"/>
      <c r="M45" s="20"/>
      <c r="N45" s="20"/>
      <c r="O45" s="20"/>
      <c r="P45" s="20"/>
      <c r="Q45" s="20"/>
      <c r="R45" s="20"/>
      <c r="S45" s="20"/>
      <c r="T45" s="32"/>
      <c r="V45" s="31"/>
      <c r="W45" s="20"/>
      <c r="X45" s="20"/>
      <c r="Y45" s="20"/>
      <c r="Z45" s="20"/>
      <c r="AA45" s="20"/>
      <c r="AB45" s="20"/>
      <c r="AC45" s="20"/>
      <c r="AD45" s="20"/>
      <c r="AE45" s="20"/>
      <c r="AF45" s="32"/>
      <c r="AH45" s="31"/>
      <c r="AI45" s="20"/>
      <c r="AJ45" s="20"/>
      <c r="AK45" s="20"/>
      <c r="AL45" s="20"/>
      <c r="AM45" s="20"/>
      <c r="AN45" s="20"/>
      <c r="AO45" s="20"/>
      <c r="AP45" s="20"/>
      <c r="AQ45" s="20"/>
      <c r="AR45" s="20"/>
      <c r="AS45" s="30"/>
      <c r="CA45" s="29">
        <v>0</v>
      </c>
      <c r="CB45" s="28"/>
      <c r="CC45" s="27">
        <v>430000</v>
      </c>
    </row>
    <row r="46" spans="1:89" ht="24.75" customHeight="1">
      <c r="B46" s="10"/>
      <c r="C46" s="10"/>
      <c r="D46" s="10"/>
      <c r="E46" s="10"/>
      <c r="F46" s="10"/>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BX46" s="19"/>
      <c r="CA46" s="26">
        <v>24000001</v>
      </c>
      <c r="CB46" s="23"/>
      <c r="CC46" s="25">
        <v>290000</v>
      </c>
    </row>
    <row r="47" spans="1:89" ht="24.75" customHeight="1" thickBot="1">
      <c r="A47" s="13" t="s">
        <v>5</v>
      </c>
      <c r="B47" s="13"/>
      <c r="C47" s="13"/>
      <c r="D47" s="13"/>
      <c r="E47" s="13"/>
      <c r="F47" s="13"/>
      <c r="G47" s="13"/>
      <c r="H47" s="13"/>
      <c r="I47" s="13"/>
      <c r="J47" s="13"/>
      <c r="K47" s="13"/>
      <c r="L47" s="13"/>
      <c r="M47" s="13"/>
      <c r="N47" s="13"/>
      <c r="O47" s="13"/>
      <c r="P47" s="13"/>
      <c r="Q47" s="13"/>
      <c r="S47" s="12"/>
      <c r="T47" s="12"/>
      <c r="V47" s="12"/>
      <c r="BX47" s="19"/>
      <c r="CA47" s="24">
        <v>24500001</v>
      </c>
      <c r="CB47" s="23"/>
      <c r="CC47" s="22">
        <v>150000</v>
      </c>
    </row>
    <row r="48" spans="1:89" ht="24.75" customHeight="1" thickBot="1">
      <c r="B48" s="12"/>
      <c r="C48" s="414">
        <f>IF($C$14="","",$L$44+$X$44+$AJ$44)</f>
        <v>0</v>
      </c>
      <c r="D48" s="415"/>
      <c r="E48" s="415"/>
      <c r="F48" s="415"/>
      <c r="G48" s="415"/>
      <c r="H48" s="415"/>
      <c r="I48" s="416"/>
      <c r="J48" s="12"/>
      <c r="K48" s="12"/>
      <c r="L48" s="12"/>
      <c r="M48" s="12"/>
      <c r="N48" s="21" t="s">
        <v>4</v>
      </c>
      <c r="O48" s="21"/>
      <c r="P48" s="21"/>
      <c r="Q48" s="20"/>
      <c r="R48" s="20"/>
      <c r="S48" s="20"/>
      <c r="T48" s="20"/>
      <c r="U48" s="20"/>
      <c r="V48" s="20"/>
      <c r="W48" s="400">
        <f>IF($C$14="","",INT($C$48/LEFT($C$14,LEN($C$14)-2)))</f>
        <v>0</v>
      </c>
      <c r="X48" s="400"/>
      <c r="Y48" s="400"/>
      <c r="Z48" s="400"/>
      <c r="AA48" s="400"/>
      <c r="AB48" s="400"/>
      <c r="AC48" s="400"/>
      <c r="BX48" s="19"/>
      <c r="CA48" s="18">
        <v>25000001</v>
      </c>
      <c r="CB48" s="17"/>
      <c r="CC48" s="16">
        <v>0</v>
      </c>
    </row>
    <row r="49" spans="1:90" ht="24.75" customHeight="1">
      <c r="B49" s="10"/>
      <c r="C49" s="10"/>
      <c r="D49" s="10"/>
      <c r="E49" s="10"/>
      <c r="F49" s="10"/>
      <c r="G49" s="15"/>
      <c r="H49" s="15"/>
      <c r="I49" s="15"/>
      <c r="J49" s="15"/>
      <c r="K49" s="15"/>
      <c r="L49" s="15"/>
      <c r="M49" s="15"/>
      <c r="N49" s="15"/>
      <c r="O49" s="15"/>
      <c r="P49" s="15"/>
      <c r="Q49" s="15"/>
      <c r="R49" s="15"/>
    </row>
    <row r="50" spans="1:90" ht="24.75" customHeight="1">
      <c r="A50" s="13" t="s">
        <v>3</v>
      </c>
      <c r="C50" s="13"/>
      <c r="D50" s="13"/>
      <c r="E50" s="13"/>
      <c r="F50" s="13"/>
      <c r="G50" s="13"/>
      <c r="S50" s="12"/>
      <c r="T50" s="12"/>
      <c r="U50" s="12"/>
      <c r="V50" s="12"/>
      <c r="W50" s="12"/>
      <c r="X50" s="12"/>
      <c r="AE50" s="11"/>
      <c r="AF50" s="11"/>
    </row>
    <row r="51" spans="1:90" ht="24.75" customHeight="1">
      <c r="B51" s="13"/>
      <c r="C51" s="1" t="s">
        <v>2</v>
      </c>
      <c r="D51" s="13"/>
      <c r="E51" s="13"/>
      <c r="F51" s="13"/>
      <c r="G51" s="13"/>
      <c r="S51" s="12"/>
      <c r="T51" s="12"/>
      <c r="U51" s="12"/>
      <c r="V51" s="12"/>
      <c r="W51" s="12"/>
      <c r="X51" s="12"/>
      <c r="AE51" s="11"/>
      <c r="AF51" s="11"/>
    </row>
    <row r="52" spans="1:90" ht="24.75" customHeight="1" thickBot="1">
      <c r="B52" s="13"/>
      <c r="C52" s="1" t="s">
        <v>1</v>
      </c>
      <c r="D52" s="13"/>
      <c r="E52" s="13"/>
      <c r="F52" s="13"/>
      <c r="G52" s="13"/>
      <c r="S52" s="12"/>
      <c r="T52" s="12"/>
      <c r="U52" s="12"/>
      <c r="V52" s="12"/>
      <c r="W52" s="12"/>
      <c r="X52" s="12"/>
      <c r="AE52" s="11"/>
      <c r="AF52" s="11"/>
      <c r="CA52" s="14"/>
    </row>
    <row r="53" spans="1:90" ht="24.75" customHeight="1" thickBot="1">
      <c r="B53" s="13"/>
      <c r="C53" s="381" t="str">
        <f>BT34</f>
        <v/>
      </c>
      <c r="D53" s="382"/>
      <c r="E53" s="382"/>
      <c r="F53" s="382"/>
      <c r="G53" s="382"/>
      <c r="H53" s="382"/>
      <c r="I53" s="383"/>
      <c r="J53" s="12"/>
      <c r="K53" s="12"/>
      <c r="L53" s="12"/>
      <c r="M53" s="12"/>
      <c r="N53" s="12"/>
      <c r="O53" s="12"/>
      <c r="P53" s="12"/>
      <c r="Q53" s="12"/>
      <c r="R53" s="12"/>
      <c r="S53" s="12"/>
      <c r="T53" s="12"/>
      <c r="U53" s="12"/>
      <c r="V53" s="12"/>
      <c r="W53" s="12"/>
      <c r="X53" s="12"/>
      <c r="AE53" s="11"/>
      <c r="AF53" s="11"/>
    </row>
    <row r="54" spans="1:90" ht="24.75" customHeight="1" thickBot="1">
      <c r="B54" s="13"/>
      <c r="C54" s="1" t="s">
        <v>0</v>
      </c>
      <c r="D54" s="6"/>
      <c r="E54" s="6"/>
      <c r="F54" s="6"/>
      <c r="G54" s="6"/>
      <c r="H54" s="6"/>
      <c r="I54" s="6"/>
      <c r="J54" s="12"/>
      <c r="K54" s="12"/>
      <c r="L54" s="12"/>
      <c r="M54" s="12"/>
      <c r="N54" s="12"/>
      <c r="O54" s="12"/>
      <c r="P54" s="12"/>
      <c r="Q54" s="12"/>
      <c r="R54" s="12"/>
      <c r="S54" s="12"/>
      <c r="T54" s="12"/>
      <c r="U54" s="12"/>
      <c r="V54" s="12"/>
      <c r="W54" s="12"/>
      <c r="X54" s="12"/>
      <c r="AE54" s="11"/>
      <c r="AF54" s="11"/>
    </row>
    <row r="55" spans="1:90" ht="24.75" customHeight="1" thickBot="1">
      <c r="B55" s="13"/>
      <c r="C55" s="414">
        <f>IF($C$14="","",SUM(BL41:BN41))</f>
        <v>0</v>
      </c>
      <c r="D55" s="415"/>
      <c r="E55" s="415"/>
      <c r="F55" s="415"/>
      <c r="G55" s="415"/>
      <c r="H55" s="415"/>
      <c r="I55" s="416"/>
      <c r="J55" s="12"/>
      <c r="K55" s="12"/>
      <c r="L55" s="12"/>
      <c r="M55" s="12"/>
      <c r="N55" s="12"/>
      <c r="O55" s="12"/>
      <c r="P55" s="12"/>
      <c r="Q55" s="12"/>
      <c r="R55" s="12"/>
      <c r="S55" s="12"/>
      <c r="T55" s="12"/>
      <c r="U55" s="12"/>
      <c r="V55" s="12"/>
      <c r="W55" s="12"/>
      <c r="X55" s="12"/>
      <c r="AE55" s="11"/>
      <c r="AF55" s="11"/>
    </row>
    <row r="56" spans="1:90" ht="19" customHeight="1">
      <c r="G56" s="10"/>
    </row>
    <row r="61" spans="1:90" ht="19" customHeight="1">
      <c r="BD61" s="3"/>
    </row>
    <row r="62" spans="1:90" s="3" customFormat="1" ht="19"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E62" s="7"/>
      <c r="BG62" s="4"/>
      <c r="BH62" s="4"/>
      <c r="BI62" s="4"/>
      <c r="BJ62" s="4"/>
      <c r="BK62" s="4"/>
      <c r="BL62" s="4"/>
      <c r="BM62" s="4"/>
      <c r="BN62" s="4"/>
      <c r="BO62" s="4"/>
      <c r="BP62" s="4"/>
      <c r="BQ62" s="4"/>
      <c r="BR62" s="4"/>
      <c r="BS62" s="4"/>
      <c r="BT62" s="4"/>
      <c r="BU62" s="4"/>
      <c r="BV62" s="4"/>
      <c r="BW62" s="4"/>
      <c r="BX62" s="4"/>
      <c r="BY62" s="4"/>
      <c r="BZ62" s="4"/>
      <c r="CA62" s="4"/>
      <c r="CB62" s="5"/>
      <c r="CC62" s="4"/>
      <c r="CL62" s="7"/>
    </row>
    <row r="63" spans="1:90" s="3" customFormat="1" ht="19"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E63" s="7"/>
      <c r="BG63" s="4"/>
      <c r="BH63" s="4"/>
      <c r="BI63" s="4"/>
      <c r="BJ63" s="4"/>
      <c r="BK63" s="4"/>
      <c r="BL63" s="4"/>
      <c r="BM63" s="4"/>
      <c r="BN63" s="4"/>
      <c r="BO63" s="4"/>
      <c r="BP63" s="4"/>
      <c r="BQ63" s="4"/>
      <c r="BR63" s="4"/>
      <c r="BS63" s="4"/>
      <c r="BT63" s="4"/>
      <c r="BU63" s="4"/>
      <c r="BV63" s="4"/>
      <c r="BW63" s="4"/>
      <c r="BX63" s="4"/>
      <c r="BY63" s="4"/>
      <c r="BZ63" s="4"/>
      <c r="CA63" s="4"/>
      <c r="CB63" s="5"/>
      <c r="CC63" s="4"/>
      <c r="CL63" s="7"/>
    </row>
    <row r="64" spans="1:90" s="3" customFormat="1" ht="19"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E64" s="7"/>
      <c r="BG64" s="4"/>
      <c r="BH64" s="4"/>
      <c r="BI64" s="4"/>
      <c r="BJ64" s="4"/>
      <c r="BK64" s="4"/>
      <c r="BL64" s="4"/>
      <c r="BM64" s="4"/>
      <c r="BN64" s="4"/>
      <c r="BO64" s="4"/>
      <c r="BP64" s="4"/>
      <c r="BQ64" s="4"/>
      <c r="BR64" s="4"/>
      <c r="BS64" s="4"/>
      <c r="BT64" s="4"/>
      <c r="BU64" s="4"/>
      <c r="BV64" s="4"/>
      <c r="BW64" s="4"/>
      <c r="BX64" s="4"/>
      <c r="BY64" s="4"/>
      <c r="BZ64" s="4"/>
      <c r="CA64" s="4"/>
      <c r="CB64" s="5"/>
      <c r="CC64" s="4"/>
      <c r="CL64" s="7"/>
    </row>
    <row r="65" spans="1:107" s="3" customFormat="1" ht="19"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E65" s="7"/>
      <c r="BO65" s="1"/>
      <c r="BP65" s="1"/>
      <c r="BQ65" s="1"/>
      <c r="BR65" s="1"/>
      <c r="BS65" s="1"/>
      <c r="BT65" s="1"/>
      <c r="BU65" s="1"/>
      <c r="BV65" s="1"/>
      <c r="BW65" s="1"/>
      <c r="BX65" s="1"/>
      <c r="BY65" s="1"/>
      <c r="BZ65" s="1"/>
      <c r="CA65" s="1"/>
      <c r="CB65" s="6"/>
      <c r="CC65" s="1"/>
      <c r="CE65" s="9"/>
      <c r="CF65" s="9"/>
      <c r="CG65" s="9"/>
      <c r="CH65" s="9"/>
      <c r="CI65" s="9"/>
      <c r="CJ65" s="9"/>
      <c r="CK65" s="9"/>
      <c r="CL65" s="2"/>
      <c r="CM65" s="1"/>
      <c r="CN65" s="1"/>
      <c r="CO65" s="1"/>
      <c r="CP65" s="1"/>
      <c r="CQ65" s="1"/>
      <c r="CR65" s="1"/>
      <c r="CS65" s="1"/>
      <c r="CT65" s="1"/>
      <c r="CU65" s="1"/>
      <c r="CV65" s="1"/>
      <c r="CW65" s="1"/>
      <c r="CX65" s="1"/>
      <c r="CY65" s="1"/>
      <c r="CZ65" s="1"/>
      <c r="DA65" s="1"/>
      <c r="DB65" s="1"/>
      <c r="DC65" s="1"/>
    </row>
    <row r="66" spans="1:107" s="3" customFormat="1" ht="19" customHeight="1">
      <c r="AZ66" s="1"/>
      <c r="BA66" s="1"/>
      <c r="BE66" s="7"/>
      <c r="CB66" s="8"/>
      <c r="CL66" s="7"/>
    </row>
    <row r="67" spans="1:107" s="3" customFormat="1" ht="19" customHeight="1">
      <c r="BE67" s="7"/>
      <c r="CB67" s="8"/>
      <c r="CL67" s="7"/>
    </row>
    <row r="68" spans="1:107" s="3" customFormat="1" ht="19" customHeight="1">
      <c r="BE68" s="7"/>
      <c r="CB68" s="8"/>
      <c r="CL68" s="7"/>
    </row>
    <row r="69" spans="1:107" s="3" customFormat="1" ht="19" customHeight="1">
      <c r="BE69" s="7"/>
      <c r="CB69" s="8"/>
      <c r="CL69" s="7"/>
    </row>
    <row r="70" spans="1:107" s="3" customFormat="1" ht="19" customHeight="1">
      <c r="BE70" s="7"/>
      <c r="CB70" s="8"/>
      <c r="CL70" s="7"/>
    </row>
    <row r="71" spans="1:107" s="3" customFormat="1" ht="19" customHeight="1">
      <c r="BE71" s="7"/>
      <c r="CB71" s="8"/>
      <c r="CL71" s="7"/>
    </row>
    <row r="72" spans="1:107" s="3" customFormat="1" ht="19" customHeight="1">
      <c r="BD72" s="1"/>
      <c r="BE72" s="7"/>
      <c r="CB72" s="8"/>
      <c r="CL72" s="7"/>
    </row>
    <row r="73" spans="1:107" ht="19"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O73" s="1"/>
      <c r="BP73" s="1"/>
      <c r="BQ73" s="1"/>
      <c r="BR73" s="1"/>
      <c r="BS73" s="1"/>
      <c r="BT73" s="1"/>
      <c r="BU73" s="1"/>
      <c r="BV73" s="1"/>
      <c r="BW73" s="1"/>
      <c r="BX73" s="1"/>
      <c r="BY73" s="1"/>
      <c r="BZ73" s="1"/>
      <c r="CA73" s="1"/>
      <c r="CB73" s="6"/>
      <c r="CC73" s="1"/>
    </row>
    <row r="74" spans="1:107" ht="19"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row>
    <row r="75" spans="1:107" ht="19"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row>
    <row r="76" spans="1:107" ht="19"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row>
    <row r="77" spans="1:107" ht="19" customHeight="1">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row>
  </sheetData>
  <sheetProtection selectLockedCells="1"/>
  <mergeCells count="167">
    <mergeCell ref="BN26:BN27"/>
    <mergeCell ref="BS26:BS27"/>
    <mergeCell ref="BR13:BR16"/>
    <mergeCell ref="BS13:BS16"/>
    <mergeCell ref="BT13:BT16"/>
    <mergeCell ref="BU13:BU16"/>
    <mergeCell ref="BP13:BP16"/>
    <mergeCell ref="BQ13:BQ16"/>
    <mergeCell ref="BO13:BO16"/>
    <mergeCell ref="BX13:BX16"/>
    <mergeCell ref="BY13:BY16"/>
    <mergeCell ref="CA26:CC27"/>
    <mergeCell ref="CA28:CC28"/>
    <mergeCell ref="CA35:CC35"/>
    <mergeCell ref="BT26:BT27"/>
    <mergeCell ref="BU26:BU27"/>
    <mergeCell ref="C10:I10"/>
    <mergeCell ref="W10:AC10"/>
    <mergeCell ref="BM13:BM16"/>
    <mergeCell ref="BH13:BH16"/>
    <mergeCell ref="BF13:BF16"/>
    <mergeCell ref="N17:U20"/>
    <mergeCell ref="V17:AB20"/>
    <mergeCell ref="AC17:AI20"/>
    <mergeCell ref="A16:BC16"/>
    <mergeCell ref="A13:BC13"/>
    <mergeCell ref="AJ17:AO20"/>
    <mergeCell ref="AP17:AT20"/>
    <mergeCell ref="AU17:BC20"/>
    <mergeCell ref="BI13:BI16"/>
    <mergeCell ref="BJ13:BJ16"/>
    <mergeCell ref="BG13:BG16"/>
    <mergeCell ref="AU27:BC27"/>
    <mergeCell ref="A9:X9"/>
    <mergeCell ref="BS4:BS5"/>
    <mergeCell ref="A1:BC2"/>
    <mergeCell ref="C55:I55"/>
    <mergeCell ref="CD28:CK28"/>
    <mergeCell ref="CD35:CK35"/>
    <mergeCell ref="CD12:CK12"/>
    <mergeCell ref="CB36:CC36"/>
    <mergeCell ref="CB44:CC44"/>
    <mergeCell ref="BY26:BY27"/>
    <mergeCell ref="BM26:BM27"/>
    <mergeCell ref="BV26:BV27"/>
    <mergeCell ref="BW26:BW27"/>
    <mergeCell ref="BX26:BX27"/>
    <mergeCell ref="CB13:CC13"/>
    <mergeCell ref="CB29:CC29"/>
    <mergeCell ref="BT4:BU4"/>
    <mergeCell ref="BV4:BW4"/>
    <mergeCell ref="BX4:BY4"/>
    <mergeCell ref="BV13:BV16"/>
    <mergeCell ref="BW13:BW16"/>
    <mergeCell ref="BN13:BN16"/>
    <mergeCell ref="BK13:BK16"/>
    <mergeCell ref="BL13:BL16"/>
    <mergeCell ref="A4:BC4"/>
    <mergeCell ref="A5:BC5"/>
    <mergeCell ref="A6:BC6"/>
    <mergeCell ref="A7:BC7"/>
    <mergeCell ref="C14:I14"/>
    <mergeCell ref="B25:F25"/>
    <mergeCell ref="B26:F26"/>
    <mergeCell ref="B27:F27"/>
    <mergeCell ref="B28:F28"/>
    <mergeCell ref="G25:M25"/>
    <mergeCell ref="B17:F20"/>
    <mergeCell ref="G17:M20"/>
    <mergeCell ref="N25:U25"/>
    <mergeCell ref="G26:M26"/>
    <mergeCell ref="N26:U26"/>
    <mergeCell ref="B24:F24"/>
    <mergeCell ref="B21:F21"/>
    <mergeCell ref="B22:F22"/>
    <mergeCell ref="B23:F23"/>
    <mergeCell ref="G21:M21"/>
    <mergeCell ref="N21:U21"/>
    <mergeCell ref="V21:AB21"/>
    <mergeCell ref="G23:M23"/>
    <mergeCell ref="N23:U23"/>
    <mergeCell ref="AU28:BC28"/>
    <mergeCell ref="B29:BC29"/>
    <mergeCell ref="G27:M27"/>
    <mergeCell ref="N27:U27"/>
    <mergeCell ref="AJ42:AP42"/>
    <mergeCell ref="AH38:AR38"/>
    <mergeCell ref="AJ40:AP40"/>
    <mergeCell ref="AJ41:AP41"/>
    <mergeCell ref="B30:BC30"/>
    <mergeCell ref="B31:BC31"/>
    <mergeCell ref="B32:BC32"/>
    <mergeCell ref="D33:BC33"/>
    <mergeCell ref="L42:R42"/>
    <mergeCell ref="X42:AD42"/>
    <mergeCell ref="C48:I48"/>
    <mergeCell ref="J38:T38"/>
    <mergeCell ref="V38:AF38"/>
    <mergeCell ref="B40:I40"/>
    <mergeCell ref="B41:I41"/>
    <mergeCell ref="B44:I44"/>
    <mergeCell ref="AJ44:AP44"/>
    <mergeCell ref="G22:M22"/>
    <mergeCell ref="N22:U22"/>
    <mergeCell ref="V22:AB22"/>
    <mergeCell ref="AC22:AI22"/>
    <mergeCell ref="AJ22:AO22"/>
    <mergeCell ref="AP22:AT22"/>
    <mergeCell ref="AC23:AI23"/>
    <mergeCell ref="AJ23:AO23"/>
    <mergeCell ref="V27:AB27"/>
    <mergeCell ref="AC27:AI27"/>
    <mergeCell ref="AJ27:AO27"/>
    <mergeCell ref="AP25:AT25"/>
    <mergeCell ref="AJ24:AO24"/>
    <mergeCell ref="AP24:AT24"/>
    <mergeCell ref="AP27:AT27"/>
    <mergeCell ref="G24:M24"/>
    <mergeCell ref="N24:U24"/>
    <mergeCell ref="V24:AB24"/>
    <mergeCell ref="AC24:AI24"/>
    <mergeCell ref="AJ21:AO21"/>
    <mergeCell ref="AP21:AT21"/>
    <mergeCell ref="AU21:BC21"/>
    <mergeCell ref="V25:AB25"/>
    <mergeCell ref="AC25:AI25"/>
    <mergeCell ref="AJ25:AO25"/>
    <mergeCell ref="AC21:AI21"/>
    <mergeCell ref="AP23:AT23"/>
    <mergeCell ref="AU22:BC22"/>
    <mergeCell ref="AU23:BC23"/>
    <mergeCell ref="V23:AB23"/>
    <mergeCell ref="AU24:BC24"/>
    <mergeCell ref="AU25:BC25"/>
    <mergeCell ref="C53:I53"/>
    <mergeCell ref="L40:R40"/>
    <mergeCell ref="X40:AD40"/>
    <mergeCell ref="L41:R41"/>
    <mergeCell ref="X41:AD41"/>
    <mergeCell ref="L44:R44"/>
    <mergeCell ref="X44:AD44"/>
    <mergeCell ref="AU26:BC26"/>
    <mergeCell ref="V26:AB26"/>
    <mergeCell ref="AC26:AI26"/>
    <mergeCell ref="AJ26:AO26"/>
    <mergeCell ref="V28:AB28"/>
    <mergeCell ref="AC28:AI28"/>
    <mergeCell ref="J37:T37"/>
    <mergeCell ref="V37:AF37"/>
    <mergeCell ref="W48:AC48"/>
    <mergeCell ref="G28:M28"/>
    <mergeCell ref="N28:U28"/>
    <mergeCell ref="B45:I45"/>
    <mergeCell ref="AH37:AR37"/>
    <mergeCell ref="AP26:AT26"/>
    <mergeCell ref="AJ28:AO28"/>
    <mergeCell ref="AP28:AT28"/>
    <mergeCell ref="B42:I42"/>
    <mergeCell ref="BI34:BK34"/>
    <mergeCell ref="BL34:BN34"/>
    <mergeCell ref="BG36:BH36"/>
    <mergeCell ref="BG37:BH37"/>
    <mergeCell ref="BG38:BH38"/>
    <mergeCell ref="BG39:BH39"/>
    <mergeCell ref="BG40:BH40"/>
    <mergeCell ref="BG41:BH41"/>
    <mergeCell ref="BG34:BH35"/>
  </mergeCells>
  <phoneticPr fontId="1"/>
  <dataValidations count="9">
    <dataValidation allowBlank="1" showInputMessage="1" showErrorMessage="1" error="整数を入力してください。_x000a_マイナスの場合は、0を入力してください。" sqref="BG17:BJ24" xr:uid="{00000000-0002-0000-0000-000008000000}"/>
    <dataValidation type="list" allowBlank="1" showInputMessage="1" showErrorMessage="1" error="加入期間を選択してください。" sqref="K15:O15" xr:uid="{00000000-0002-0000-0000-000007000000}">
      <formula1>#REF!</formula1>
    </dataValidation>
    <dataValidation type="list" allowBlank="1" showInputMessage="1" showErrorMessage="1" error="選択してください。" sqref="AU21:BC28" xr:uid="{00000000-0002-0000-0000-000006000000}">
      <formula1>"所得金額調整控除該当"</formula1>
    </dataValidation>
    <dataValidation allowBlank="1" showInputMessage="1" showErrorMessage="1" error="選択してください。" sqref="AP22:AT28" xr:uid="{00000000-0002-0000-0000-000005000000}"/>
    <dataValidation type="list" allowBlank="1" showInputMessage="1" showErrorMessage="1" error="加入期間を選択してください。" sqref="C14:I14" xr:uid="{00000000-0002-0000-0000-000004000000}">
      <formula1>"1カ月,2カ月,3カ月,4カ月,5カ月,6カ月,7カ月,8カ月,9カ月,10カ月,11カ月,12カ月"</formula1>
    </dataValidation>
    <dataValidation type="list" allowBlank="1" showInputMessage="1" showErrorMessage="1" error="選択してください。" sqref="AP21:AT21" xr:uid="{00000000-0002-0000-0000-000003000000}">
      <formula1>"擬制世帯主"</formula1>
    </dataValidation>
    <dataValidation type="list" allowBlank="1" showInputMessage="1" showErrorMessage="1" error="年齢区分を選択してください。" sqref="G21:M28" xr:uid="{00000000-0002-0000-0000-000002000000}">
      <formula1>"0歳～39歳,40歳～64歳,65歳～74歳"</formula1>
    </dataValidation>
    <dataValidation type="list" allowBlank="1" showInputMessage="1" showErrorMessage="1" error="選択してください。" sqref="AJ21:AO28" xr:uid="{00000000-0002-0000-0000-000001000000}">
      <formula1>"非自発的失業"</formula1>
    </dataValidation>
    <dataValidation imeMode="off" allowBlank="1" showInputMessage="1" showErrorMessage="1" sqref="BG2:BR9 CE1:XFD9 BG1:CD1 BS3:BY10 BZ2:CD9 A12:BC13 N21:AI28 A1 A3:BC8 BD1:BD8" xr:uid="{00000000-0002-0000-0000-000000000000}"/>
  </dataValidations>
  <printOptions horizontalCentered="1"/>
  <pageMargins left="0.70866141732283472" right="0.70866141732283472" top="0.74803149606299213" bottom="0.74803149606299213" header="0.31496062992125984" footer="0.31496062992125984"/>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57C68-9407-5A42-89F6-6AF73185A594}">
  <sheetPr>
    <pageSetUpPr fitToPage="1"/>
  </sheetPr>
  <dimension ref="A1:CD37"/>
  <sheetViews>
    <sheetView zoomScale="70" zoomScaleNormal="70" zoomScaleSheetLayoutView="100" workbookViewId="0">
      <selection activeCell="B26" sqref="B26:Z26"/>
    </sheetView>
  </sheetViews>
  <sheetFormatPr defaultColWidth="3.08203125" defaultRowHeight="19" customHeight="1"/>
  <cols>
    <col min="1" max="1" width="4" style="1" customWidth="1"/>
    <col min="2" max="19" width="3.08203125" style="1"/>
    <col min="20" max="20" width="3.08203125" style="1" customWidth="1"/>
    <col min="21" max="33" width="3.08203125" style="1"/>
    <col min="34" max="59" width="3.08203125" style="119" customWidth="1"/>
    <col min="60" max="61" width="9.08203125" style="119" customWidth="1"/>
    <col min="62" max="62" width="8.58203125" style="1" customWidth="1"/>
    <col min="63" max="63" width="6.58203125" style="1" customWidth="1"/>
    <col min="64" max="75" width="6.58203125" style="120" customWidth="1"/>
    <col min="76" max="76" width="14.5" style="1" customWidth="1"/>
    <col min="77" max="77" width="4.33203125" style="1" customWidth="1"/>
    <col min="78" max="78" width="3.08203125" style="1" customWidth="1"/>
    <col min="79" max="81" width="8.08203125" style="1" customWidth="1"/>
    <col min="82" max="16384" width="3.08203125" style="1"/>
  </cols>
  <sheetData>
    <row r="1" spans="1:82" ht="19" customHeight="1">
      <c r="A1" s="1" t="s">
        <v>125</v>
      </c>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X1" s="121"/>
    </row>
    <row r="2" spans="1:82" ht="19" customHeight="1">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X2" s="122" t="s">
        <v>126</v>
      </c>
    </row>
    <row r="3" spans="1:82" ht="19" customHeight="1">
      <c r="A3" s="1" t="s">
        <v>127</v>
      </c>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X3" s="122" t="s">
        <v>128</v>
      </c>
    </row>
    <row r="4" spans="1:82" ht="19" customHeight="1">
      <c r="B4" s="492"/>
      <c r="C4" s="493"/>
      <c r="D4" s="493"/>
      <c r="E4" s="493"/>
      <c r="F4" s="493"/>
      <c r="G4" s="493"/>
      <c r="H4" s="494"/>
      <c r="I4" s="123"/>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X4" s="124" t="s">
        <v>129</v>
      </c>
    </row>
    <row r="5" spans="1:82" ht="19" customHeight="1">
      <c r="F5" s="6"/>
      <c r="G5" s="6"/>
      <c r="H5" s="6"/>
      <c r="I5" s="6"/>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X5" s="121"/>
    </row>
    <row r="6" spans="1:82" ht="19" customHeight="1">
      <c r="A6" s="1" t="s">
        <v>84</v>
      </c>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X6" s="122" t="s">
        <v>130</v>
      </c>
      <c r="CA6" s="10" t="s">
        <v>131</v>
      </c>
    </row>
    <row r="7" spans="1:82" ht="19" customHeight="1">
      <c r="A7" s="125"/>
      <c r="B7" s="495" t="s">
        <v>132</v>
      </c>
      <c r="C7" s="495"/>
      <c r="D7" s="495"/>
      <c r="E7" s="495"/>
      <c r="F7" s="495"/>
      <c r="G7" s="495"/>
      <c r="H7" s="495"/>
      <c r="I7" s="495" t="s">
        <v>133</v>
      </c>
      <c r="J7" s="495"/>
      <c r="K7" s="495"/>
      <c r="L7" s="495"/>
      <c r="M7" s="495"/>
      <c r="N7" s="495"/>
      <c r="O7" s="495" t="s">
        <v>134</v>
      </c>
      <c r="P7" s="495"/>
      <c r="Q7" s="495"/>
      <c r="R7" s="495"/>
      <c r="S7" s="495"/>
      <c r="T7" s="496"/>
      <c r="U7" s="495" t="s">
        <v>135</v>
      </c>
      <c r="V7" s="495"/>
      <c r="W7" s="495"/>
      <c r="X7" s="495"/>
      <c r="Y7" s="495"/>
      <c r="Z7" s="496"/>
      <c r="AA7" s="497" t="s">
        <v>136</v>
      </c>
      <c r="AB7" s="498"/>
      <c r="AC7" s="497" t="s">
        <v>137</v>
      </c>
      <c r="AD7" s="498"/>
      <c r="AE7" s="495" t="s">
        <v>138</v>
      </c>
      <c r="AF7" s="495"/>
      <c r="AG7" s="495"/>
      <c r="AH7" s="495"/>
      <c r="AI7" s="495"/>
      <c r="AJ7" s="496"/>
      <c r="AK7" s="495" t="s">
        <v>105</v>
      </c>
      <c r="AL7" s="495"/>
      <c r="AM7" s="495"/>
      <c r="AN7" s="495"/>
      <c r="AO7" s="495"/>
      <c r="AP7" s="496"/>
      <c r="AQ7" s="495" t="s">
        <v>104</v>
      </c>
      <c r="AR7" s="495"/>
      <c r="AS7" s="495"/>
      <c r="AT7" s="495"/>
      <c r="AU7" s="495"/>
      <c r="AV7" s="496"/>
      <c r="AW7" s="495" t="s">
        <v>103</v>
      </c>
      <c r="AX7" s="495"/>
      <c r="AY7" s="495"/>
      <c r="AZ7" s="495"/>
      <c r="BA7" s="495"/>
      <c r="BB7" s="496"/>
      <c r="BC7" s="52"/>
      <c r="BD7" s="126" t="s">
        <v>131</v>
      </c>
      <c r="BE7" s="126" t="s">
        <v>139</v>
      </c>
      <c r="BF7" s="126" t="s">
        <v>140</v>
      </c>
      <c r="BG7" s="126" t="s">
        <v>141</v>
      </c>
      <c r="BH7" s="126" t="s">
        <v>131</v>
      </c>
      <c r="BI7" s="126" t="s">
        <v>142</v>
      </c>
      <c r="BJ7" s="127" t="s">
        <v>143</v>
      </c>
      <c r="BK7" s="127" t="s">
        <v>94</v>
      </c>
      <c r="BL7" s="128" t="s">
        <v>144</v>
      </c>
      <c r="BM7" s="128" t="s">
        <v>145</v>
      </c>
      <c r="BN7" s="128" t="s">
        <v>146</v>
      </c>
      <c r="BO7" s="128" t="s">
        <v>147</v>
      </c>
      <c r="BP7" s="128" t="s">
        <v>148</v>
      </c>
      <c r="BQ7" s="128" t="s">
        <v>149</v>
      </c>
      <c r="BR7" s="128" t="s">
        <v>150</v>
      </c>
      <c r="BS7" s="128" t="s">
        <v>151</v>
      </c>
      <c r="BT7" s="128" t="s">
        <v>152</v>
      </c>
      <c r="BU7" s="128" t="s">
        <v>153</v>
      </c>
      <c r="BV7" s="128" t="s">
        <v>154</v>
      </c>
      <c r="BW7" s="128" t="s">
        <v>155</v>
      </c>
      <c r="BX7" s="122" t="s">
        <v>156</v>
      </c>
      <c r="CA7" s="129">
        <v>0</v>
      </c>
      <c r="CB7" s="129"/>
      <c r="CC7" s="129">
        <v>0</v>
      </c>
      <c r="CD7" s="120"/>
    </row>
    <row r="8" spans="1:82" ht="19" customHeight="1">
      <c r="A8" s="130" t="s">
        <v>157</v>
      </c>
      <c r="B8" s="499"/>
      <c r="C8" s="499"/>
      <c r="D8" s="499"/>
      <c r="E8" s="499"/>
      <c r="F8" s="499"/>
      <c r="G8" s="499"/>
      <c r="H8" s="499"/>
      <c r="I8" s="500"/>
      <c r="J8" s="500"/>
      <c r="K8" s="500"/>
      <c r="L8" s="500"/>
      <c r="M8" s="500"/>
      <c r="N8" s="500"/>
      <c r="O8" s="500"/>
      <c r="P8" s="500"/>
      <c r="Q8" s="500"/>
      <c r="R8" s="500"/>
      <c r="S8" s="500"/>
      <c r="T8" s="500"/>
      <c r="U8" s="500"/>
      <c r="V8" s="500"/>
      <c r="W8" s="500"/>
      <c r="X8" s="500"/>
      <c r="Y8" s="500"/>
      <c r="Z8" s="500"/>
      <c r="AA8" s="501"/>
      <c r="AB8" s="502"/>
      <c r="AC8" s="501"/>
      <c r="AD8" s="502"/>
      <c r="AE8" s="503">
        <f>BI8-BJ8</f>
        <v>0</v>
      </c>
      <c r="AF8" s="503"/>
      <c r="AG8" s="503"/>
      <c r="AH8" s="503"/>
      <c r="AI8" s="503"/>
      <c r="AJ8" s="504"/>
      <c r="AK8" s="503">
        <f t="shared" ref="AK8" si="0">IF(B8=AGE_0,0,IF(B8=AGE_3,IF(O8&gt;=NS_65_4,O8-NK_65_4,IF(O8&gt;=NS_65_3,O8*NR_65_3-NK_65_3,IF(O8&gt;=NS_65_2,O8*NR_65_2-NK_65_2,IF(O8&gt;=NS_65_1,O8*NR_65_1-NK_65_1,IF(O8&gt;=NK_65_0,O8-NK_65_0,0))))),IF(O8&gt;=NS_64_4,O8-NK_64_4,IF(O8&gt;=NS_64_3,O8*NR_64_3-NK_64_3,IF(O8&gt;=NS_64_2,O8*NR_64_2-NK_64_2,IF(O8&gt;=NS_64_1,O8*NR_64_1-NK_64_1,IF(O8&gt;=NK_64_0,O8-NK_64_0,0)))))))</f>
        <v>0</v>
      </c>
      <c r="AL8" s="503"/>
      <c r="AM8" s="503"/>
      <c r="AN8" s="503"/>
      <c r="AO8" s="503"/>
      <c r="AP8" s="504"/>
      <c r="AQ8" s="503">
        <f>IF(U8+AE8+AK8&lt;0,0,U8+AE8+AK8)</f>
        <v>0</v>
      </c>
      <c r="AR8" s="503"/>
      <c r="AS8" s="503"/>
      <c r="AT8" s="503"/>
      <c r="AU8" s="503"/>
      <c r="AV8" s="504"/>
      <c r="AW8" s="505">
        <f t="shared" ref="AW8:AW15" si="1">IF(AQ8&gt;=KISO_3,AQ8,IF(AQ8&gt;=KISO_2,AQ8-KS_KJ_2,IF(AQ8&gt;=KISO_1,AQ8-KS_KJ_1,IF(AQ8&gt;KISO_0,IF(AQ8-KS_KJ_0&lt;0,0,AQ8-KS_KJ_0),0))))</f>
        <v>0</v>
      </c>
      <c r="AX8" s="505"/>
      <c r="AY8" s="505"/>
      <c r="AZ8" s="505"/>
      <c r="BA8" s="505"/>
      <c r="BB8" s="506"/>
      <c r="BC8" s="52"/>
      <c r="BD8" s="131">
        <f>IF(I8&gt;550000,1,0)</f>
        <v>0</v>
      </c>
      <c r="BE8" s="131">
        <f t="shared" ref="BE8:BE15" si="2">IF(B8=AGE_3,IF(O8&gt;1250000,1,0),IF(O8&gt;600000,1,0))</f>
        <v>0</v>
      </c>
      <c r="BF8" s="131">
        <f>IF(BD8+BE8&gt;0,1,0)</f>
        <v>0</v>
      </c>
      <c r="BG8" s="131">
        <f t="shared" ref="BG8:BG15" si="3">IF(AC8&lt;&gt;"●",IF(B8&lt;&gt;AGE_0,1,0),0)</f>
        <v>0</v>
      </c>
      <c r="BH8" s="132">
        <f t="shared" ref="BH8:BH15" si="4">IF(I8&gt;=KS_10,I8-KJ_10,IF(I8&gt;=KS_9,I8*KR_9-KJ_9, IF(I8&gt;=KS_8,TRUNC(I8/4,-3)*KR_8-KJ_8, IF(I8&gt;=KS_7,TRUNC(I8/4,-3)*KR_7-KJ_7, IF(I8&gt;=KS_6,TRUNC(I8/4,-3)*KR_6+KJ_6,IF(I8&gt;=KS_5,KJ_5,IF(I8&gt;=KS_4,KJ_4,IF(I8&gt;=KS_3,KJ_3,IF(I8&gt;=KS_2,KJ_2,IF(I8&gt;=KS_1,I8-KJ_1,IF(I8&gt;=KS_0,0,0)))))))))))</f>
        <v>0</v>
      </c>
      <c r="BI8" s="132">
        <f>IF(AA8="●",BH8*0.3,BH8)</f>
        <v>0</v>
      </c>
      <c r="BJ8" s="132">
        <f>IF(BI8&gt;0,IF(AK8&gt;0,IF(BI8&gt;100000,100000,BI8)+IF(AK8&gt;100000,100000,AK8)-100000,0),0)</f>
        <v>0</v>
      </c>
      <c r="BK8" s="132">
        <f t="shared" ref="BK8:BK15" si="5">IF(B8=AGE_3,IF(AK8&gt;=150000,AQ8-150000,AQ8-AK8),AQ8)</f>
        <v>0</v>
      </c>
      <c r="BL8" s="128" t="str">
        <f t="shared" ref="BL8:BL15" si="6">IF(B8=AGE_0,"",IF(AC8="",TRUNC(AW8*IR_SYT),0))</f>
        <v/>
      </c>
      <c r="BM8" s="128" t="str">
        <f t="shared" ref="BM8:BM15" si="7">IF(B8=AGE_0,"",IF(AC8="",IR_KIN,0))</f>
        <v/>
      </c>
      <c r="BN8" s="128" t="str">
        <f t="shared" ref="BN8:BN15" si="8">IF(B8=AGE_0,"",IF(AC8="",TRUNC(AW8*SI_SYT),0))</f>
        <v/>
      </c>
      <c r="BO8" s="128" t="str">
        <f t="shared" ref="BO8:BO15" si="9">IF(B8=AGE_0,"",IF(AC8="",SI_KIN,0))</f>
        <v/>
      </c>
      <c r="BP8" s="128" t="str">
        <f t="shared" ref="BP8:BP15" si="10">IF(B8=AGE_2,IF(AC8="",TRUNC(AW8*KG_SYT),0),"")</f>
        <v/>
      </c>
      <c r="BQ8" s="128" t="str">
        <f t="shared" ref="BQ8:BQ15" si="11">IF(B8=AGE_2,IF(AC8="",KG_KIN,0),"")</f>
        <v/>
      </c>
      <c r="BR8" s="128" t="str">
        <f t="shared" ref="BR8:BR15" si="12">IF(B8=AGE_0,"",IF(AC8="",TRUNC(BC8*IR_SAN),0))</f>
        <v/>
      </c>
      <c r="BS8" s="128"/>
      <c r="BT8" s="128" t="str">
        <f t="shared" ref="BT8:BT15" si="13">IF(B8=AGE_0,"",IF(AC8="",TRUNC(BC8*SI_SAN),0))</f>
        <v/>
      </c>
      <c r="BU8" s="128"/>
      <c r="BV8" s="128" t="str">
        <f t="shared" ref="BV8:BV15" si="14">IF(B8=AGE_2,IF(AC8="",TRUNC(BC8*KG_SAN),0),"")</f>
        <v/>
      </c>
      <c r="BW8" s="128"/>
      <c r="BX8" s="122" t="s">
        <v>158</v>
      </c>
      <c r="CA8" s="129">
        <v>551000</v>
      </c>
      <c r="CB8" s="129"/>
      <c r="CC8" s="129">
        <v>550000</v>
      </c>
      <c r="CD8" s="120"/>
    </row>
    <row r="9" spans="1:82" ht="19" customHeight="1">
      <c r="A9" s="130" t="s">
        <v>159</v>
      </c>
      <c r="B9" s="499"/>
      <c r="C9" s="499"/>
      <c r="D9" s="499"/>
      <c r="E9" s="499"/>
      <c r="F9" s="499"/>
      <c r="G9" s="499"/>
      <c r="H9" s="499"/>
      <c r="I9" s="500"/>
      <c r="J9" s="500"/>
      <c r="K9" s="500"/>
      <c r="L9" s="500"/>
      <c r="M9" s="500"/>
      <c r="N9" s="500"/>
      <c r="O9" s="500"/>
      <c r="P9" s="500"/>
      <c r="Q9" s="500"/>
      <c r="R9" s="500"/>
      <c r="S9" s="500"/>
      <c r="T9" s="500"/>
      <c r="U9" s="500"/>
      <c r="V9" s="500"/>
      <c r="W9" s="500"/>
      <c r="X9" s="500"/>
      <c r="Y9" s="500"/>
      <c r="Z9" s="500"/>
      <c r="AA9" s="501"/>
      <c r="AB9" s="502"/>
      <c r="AC9" s="501"/>
      <c r="AD9" s="502"/>
      <c r="AE9" s="503">
        <f t="shared" ref="AE9:AE15" si="15">BI9-BJ9</f>
        <v>0</v>
      </c>
      <c r="AF9" s="503"/>
      <c r="AG9" s="503"/>
      <c r="AH9" s="503"/>
      <c r="AI9" s="503"/>
      <c r="AJ9" s="504"/>
      <c r="AK9" s="503">
        <f t="shared" ref="AK9:AK15" si="16">IF(B9=AGE_0,0,IF(B9=AGE_3,IF(O9&gt;=NS_65_4,O9-NK_65_4,IF(O9&gt;=NS_65_3,O9*NR_65_3-NK_65_3,IF(O9&gt;=NS_65_2,O9*NR_65_2-NK_65_2,IF(O9&gt;=NS_65_1,O9*NR_65_1-NK_65_1,IF(O9&gt;=NK_65_0,O9-NK_65_0,0))))),IF(O9&gt;=NS_64_4,O9-NK_64_4,IF(O9&gt;=NS_64_3,O9*NR_64_3-NK_64_3,IF(O9&gt;=NS_64_2,O9*NR_64_2-NK_64_2,IF(O9&gt;=NS_64_1,O9*NR_64_1-NK_64_1,IF(O9&gt;=NK_64_0,O9-NK_64_0,0)))))))</f>
        <v>0</v>
      </c>
      <c r="AL9" s="503"/>
      <c r="AM9" s="503"/>
      <c r="AN9" s="503"/>
      <c r="AO9" s="503"/>
      <c r="AP9" s="504"/>
      <c r="AQ9" s="503">
        <f t="shared" ref="AQ9:AQ15" si="17">IF(U9+AE9+AK9&lt;0,0,U9+AE9+AK9)</f>
        <v>0</v>
      </c>
      <c r="AR9" s="503"/>
      <c r="AS9" s="503"/>
      <c r="AT9" s="503"/>
      <c r="AU9" s="503"/>
      <c r="AV9" s="504"/>
      <c r="AW9" s="503">
        <f t="shared" si="1"/>
        <v>0</v>
      </c>
      <c r="AX9" s="503"/>
      <c r="AY9" s="503"/>
      <c r="AZ9" s="503"/>
      <c r="BA9" s="503"/>
      <c r="BB9" s="504"/>
      <c r="BC9" s="52"/>
      <c r="BD9" s="131">
        <f t="shared" ref="BD9:BD15" si="18">IF(I9&gt;550000,1,0)</f>
        <v>0</v>
      </c>
      <c r="BE9" s="131">
        <f t="shared" si="2"/>
        <v>0</v>
      </c>
      <c r="BF9" s="131">
        <f t="shared" ref="BF9:BF15" si="19">IF(BD9+BE9&gt;0,1,0)</f>
        <v>0</v>
      </c>
      <c r="BG9" s="131">
        <f t="shared" si="3"/>
        <v>0</v>
      </c>
      <c r="BH9" s="132">
        <f t="shared" si="4"/>
        <v>0</v>
      </c>
      <c r="BI9" s="132">
        <f t="shared" ref="BI9:BI15" si="20">IF(AA9="●",BH9*0.3,BH9)</f>
        <v>0</v>
      </c>
      <c r="BJ9" s="132">
        <f t="shared" ref="BJ9:BJ15" si="21">IF(BH9&gt;0,IF(AK9&gt;0,IF(BH9&gt;100000,100000,BH9)+IF(AK9&gt;100000,100000,AK9)-100000,0),0)</f>
        <v>0</v>
      </c>
      <c r="BK9" s="132">
        <f t="shared" si="5"/>
        <v>0</v>
      </c>
      <c r="BL9" s="128" t="str">
        <f t="shared" si="6"/>
        <v/>
      </c>
      <c r="BM9" s="128" t="str">
        <f t="shared" si="7"/>
        <v/>
      </c>
      <c r="BN9" s="128" t="str">
        <f t="shared" si="8"/>
        <v/>
      </c>
      <c r="BO9" s="128" t="str">
        <f t="shared" si="9"/>
        <v/>
      </c>
      <c r="BP9" s="128" t="str">
        <f t="shared" si="10"/>
        <v/>
      </c>
      <c r="BQ9" s="128" t="str">
        <f t="shared" si="11"/>
        <v/>
      </c>
      <c r="BR9" s="128" t="str">
        <f t="shared" si="12"/>
        <v/>
      </c>
      <c r="BS9" s="128"/>
      <c r="BT9" s="128" t="str">
        <f t="shared" si="13"/>
        <v/>
      </c>
      <c r="BU9" s="128"/>
      <c r="BV9" s="128" t="str">
        <f t="shared" si="14"/>
        <v/>
      </c>
      <c r="BW9" s="128"/>
      <c r="BX9" s="122" t="s">
        <v>160</v>
      </c>
      <c r="CA9" s="129">
        <v>1619000</v>
      </c>
      <c r="CB9" s="129"/>
      <c r="CC9" s="129">
        <v>1069000</v>
      </c>
      <c r="CD9" s="120"/>
    </row>
    <row r="10" spans="1:82" ht="19" customHeight="1">
      <c r="A10" s="130" t="s">
        <v>161</v>
      </c>
      <c r="B10" s="499"/>
      <c r="C10" s="499"/>
      <c r="D10" s="499"/>
      <c r="E10" s="499"/>
      <c r="F10" s="499"/>
      <c r="G10" s="499"/>
      <c r="H10" s="499"/>
      <c r="I10" s="500"/>
      <c r="J10" s="500"/>
      <c r="K10" s="500"/>
      <c r="L10" s="500"/>
      <c r="M10" s="500"/>
      <c r="N10" s="500"/>
      <c r="O10" s="500"/>
      <c r="P10" s="500"/>
      <c r="Q10" s="500"/>
      <c r="R10" s="500"/>
      <c r="S10" s="500"/>
      <c r="T10" s="500"/>
      <c r="U10" s="500"/>
      <c r="V10" s="500"/>
      <c r="W10" s="500"/>
      <c r="X10" s="500"/>
      <c r="Y10" s="500"/>
      <c r="Z10" s="500"/>
      <c r="AA10" s="501"/>
      <c r="AB10" s="502"/>
      <c r="AC10" s="501"/>
      <c r="AD10" s="502"/>
      <c r="AE10" s="503">
        <f t="shared" si="15"/>
        <v>0</v>
      </c>
      <c r="AF10" s="503"/>
      <c r="AG10" s="503"/>
      <c r="AH10" s="503"/>
      <c r="AI10" s="503"/>
      <c r="AJ10" s="504"/>
      <c r="AK10" s="503">
        <f t="shared" si="16"/>
        <v>0</v>
      </c>
      <c r="AL10" s="503"/>
      <c r="AM10" s="503"/>
      <c r="AN10" s="503"/>
      <c r="AO10" s="503"/>
      <c r="AP10" s="504"/>
      <c r="AQ10" s="503">
        <f t="shared" si="17"/>
        <v>0</v>
      </c>
      <c r="AR10" s="503"/>
      <c r="AS10" s="503"/>
      <c r="AT10" s="503"/>
      <c r="AU10" s="503"/>
      <c r="AV10" s="504"/>
      <c r="AW10" s="503">
        <f t="shared" si="1"/>
        <v>0</v>
      </c>
      <c r="AX10" s="503"/>
      <c r="AY10" s="503"/>
      <c r="AZ10" s="503"/>
      <c r="BA10" s="503"/>
      <c r="BB10" s="504"/>
      <c r="BC10" s="52"/>
      <c r="BD10" s="131">
        <f t="shared" si="18"/>
        <v>0</v>
      </c>
      <c r="BE10" s="131">
        <f t="shared" si="2"/>
        <v>0</v>
      </c>
      <c r="BF10" s="131">
        <f t="shared" si="19"/>
        <v>0</v>
      </c>
      <c r="BG10" s="131">
        <f t="shared" si="3"/>
        <v>0</v>
      </c>
      <c r="BH10" s="132">
        <f t="shared" si="4"/>
        <v>0</v>
      </c>
      <c r="BI10" s="132">
        <f t="shared" si="20"/>
        <v>0</v>
      </c>
      <c r="BJ10" s="132">
        <f t="shared" si="21"/>
        <v>0</v>
      </c>
      <c r="BK10" s="132">
        <f t="shared" si="5"/>
        <v>0</v>
      </c>
      <c r="BL10" s="128" t="str">
        <f t="shared" si="6"/>
        <v/>
      </c>
      <c r="BM10" s="128" t="str">
        <f t="shared" si="7"/>
        <v/>
      </c>
      <c r="BN10" s="128" t="str">
        <f t="shared" si="8"/>
        <v/>
      </c>
      <c r="BO10" s="128" t="str">
        <f t="shared" si="9"/>
        <v/>
      </c>
      <c r="BP10" s="128" t="str">
        <f t="shared" si="10"/>
        <v/>
      </c>
      <c r="BQ10" s="128" t="str">
        <f t="shared" si="11"/>
        <v/>
      </c>
      <c r="BR10" s="128" t="str">
        <f t="shared" si="12"/>
        <v/>
      </c>
      <c r="BS10" s="128"/>
      <c r="BT10" s="128" t="str">
        <f t="shared" si="13"/>
        <v/>
      </c>
      <c r="BU10" s="128"/>
      <c r="BV10" s="128" t="str">
        <f t="shared" si="14"/>
        <v/>
      </c>
      <c r="BW10" s="128"/>
      <c r="BX10" s="122" t="s">
        <v>162</v>
      </c>
      <c r="CA10" s="129">
        <v>1620000</v>
      </c>
      <c r="CB10" s="129"/>
      <c r="CC10" s="129">
        <v>1070000</v>
      </c>
      <c r="CD10" s="120"/>
    </row>
    <row r="11" spans="1:82" ht="19" customHeight="1">
      <c r="A11" s="130" t="s">
        <v>163</v>
      </c>
      <c r="B11" s="499"/>
      <c r="C11" s="499"/>
      <c r="D11" s="499"/>
      <c r="E11" s="499"/>
      <c r="F11" s="499"/>
      <c r="G11" s="499"/>
      <c r="H11" s="499"/>
      <c r="I11" s="500"/>
      <c r="J11" s="500"/>
      <c r="K11" s="500"/>
      <c r="L11" s="500"/>
      <c r="M11" s="500"/>
      <c r="N11" s="500"/>
      <c r="O11" s="500"/>
      <c r="P11" s="500"/>
      <c r="Q11" s="500"/>
      <c r="R11" s="500"/>
      <c r="S11" s="500"/>
      <c r="T11" s="500"/>
      <c r="U11" s="500"/>
      <c r="V11" s="500"/>
      <c r="W11" s="500"/>
      <c r="X11" s="500"/>
      <c r="Y11" s="500"/>
      <c r="Z11" s="500"/>
      <c r="AA11" s="501"/>
      <c r="AB11" s="502"/>
      <c r="AC11" s="501"/>
      <c r="AD11" s="502"/>
      <c r="AE11" s="503">
        <f t="shared" si="15"/>
        <v>0</v>
      </c>
      <c r="AF11" s="503"/>
      <c r="AG11" s="503"/>
      <c r="AH11" s="503"/>
      <c r="AI11" s="503"/>
      <c r="AJ11" s="504"/>
      <c r="AK11" s="503">
        <f t="shared" si="16"/>
        <v>0</v>
      </c>
      <c r="AL11" s="503"/>
      <c r="AM11" s="503"/>
      <c r="AN11" s="503"/>
      <c r="AO11" s="503"/>
      <c r="AP11" s="504"/>
      <c r="AQ11" s="503">
        <f t="shared" si="17"/>
        <v>0</v>
      </c>
      <c r="AR11" s="503"/>
      <c r="AS11" s="503"/>
      <c r="AT11" s="503"/>
      <c r="AU11" s="503"/>
      <c r="AV11" s="504"/>
      <c r="AW11" s="503">
        <f t="shared" si="1"/>
        <v>0</v>
      </c>
      <c r="AX11" s="503"/>
      <c r="AY11" s="503"/>
      <c r="AZ11" s="503"/>
      <c r="BA11" s="503"/>
      <c r="BB11" s="504"/>
      <c r="BC11" s="52"/>
      <c r="BD11" s="131">
        <f t="shared" si="18"/>
        <v>0</v>
      </c>
      <c r="BE11" s="131">
        <f t="shared" si="2"/>
        <v>0</v>
      </c>
      <c r="BF11" s="131">
        <f t="shared" si="19"/>
        <v>0</v>
      </c>
      <c r="BG11" s="131">
        <f t="shared" si="3"/>
        <v>0</v>
      </c>
      <c r="BH11" s="132">
        <f t="shared" si="4"/>
        <v>0</v>
      </c>
      <c r="BI11" s="132">
        <f t="shared" si="20"/>
        <v>0</v>
      </c>
      <c r="BJ11" s="132">
        <f t="shared" si="21"/>
        <v>0</v>
      </c>
      <c r="BK11" s="132">
        <f t="shared" si="5"/>
        <v>0</v>
      </c>
      <c r="BL11" s="128" t="str">
        <f t="shared" si="6"/>
        <v/>
      </c>
      <c r="BM11" s="128" t="str">
        <f t="shared" si="7"/>
        <v/>
      </c>
      <c r="BN11" s="128" t="str">
        <f t="shared" si="8"/>
        <v/>
      </c>
      <c r="BO11" s="128" t="str">
        <f t="shared" si="9"/>
        <v/>
      </c>
      <c r="BP11" s="128" t="str">
        <f t="shared" si="10"/>
        <v/>
      </c>
      <c r="BQ11" s="128" t="str">
        <f t="shared" si="11"/>
        <v/>
      </c>
      <c r="BR11" s="128" t="str">
        <f t="shared" si="12"/>
        <v/>
      </c>
      <c r="BS11" s="128"/>
      <c r="BT11" s="128" t="str">
        <f t="shared" si="13"/>
        <v/>
      </c>
      <c r="BU11" s="128"/>
      <c r="BV11" s="128" t="str">
        <f t="shared" si="14"/>
        <v/>
      </c>
      <c r="BW11" s="128"/>
      <c r="BX11" s="122" t="s">
        <v>164</v>
      </c>
      <c r="CA11" s="129">
        <v>1622000</v>
      </c>
      <c r="CB11" s="129"/>
      <c r="CC11" s="129">
        <v>1072000</v>
      </c>
      <c r="CD11" s="120"/>
    </row>
    <row r="12" spans="1:82" ht="19" customHeight="1">
      <c r="A12" s="130" t="s">
        <v>165</v>
      </c>
      <c r="B12" s="499"/>
      <c r="C12" s="499"/>
      <c r="D12" s="499"/>
      <c r="E12" s="499"/>
      <c r="F12" s="499"/>
      <c r="G12" s="499"/>
      <c r="H12" s="499"/>
      <c r="I12" s="500"/>
      <c r="J12" s="500"/>
      <c r="K12" s="500"/>
      <c r="L12" s="500"/>
      <c r="M12" s="500"/>
      <c r="N12" s="500"/>
      <c r="O12" s="500"/>
      <c r="P12" s="500"/>
      <c r="Q12" s="500"/>
      <c r="R12" s="500"/>
      <c r="S12" s="500"/>
      <c r="T12" s="500"/>
      <c r="U12" s="500"/>
      <c r="V12" s="500"/>
      <c r="W12" s="500"/>
      <c r="X12" s="500"/>
      <c r="Y12" s="500"/>
      <c r="Z12" s="500"/>
      <c r="AA12" s="501"/>
      <c r="AB12" s="502"/>
      <c r="AC12" s="501"/>
      <c r="AD12" s="502"/>
      <c r="AE12" s="503">
        <f t="shared" si="15"/>
        <v>0</v>
      </c>
      <c r="AF12" s="503"/>
      <c r="AG12" s="503"/>
      <c r="AH12" s="503"/>
      <c r="AI12" s="503"/>
      <c r="AJ12" s="504"/>
      <c r="AK12" s="503">
        <f t="shared" si="16"/>
        <v>0</v>
      </c>
      <c r="AL12" s="503"/>
      <c r="AM12" s="503"/>
      <c r="AN12" s="503"/>
      <c r="AO12" s="503"/>
      <c r="AP12" s="504"/>
      <c r="AQ12" s="503">
        <f t="shared" si="17"/>
        <v>0</v>
      </c>
      <c r="AR12" s="503"/>
      <c r="AS12" s="503"/>
      <c r="AT12" s="503"/>
      <c r="AU12" s="503"/>
      <c r="AV12" s="504"/>
      <c r="AW12" s="503">
        <f t="shared" si="1"/>
        <v>0</v>
      </c>
      <c r="AX12" s="503"/>
      <c r="AY12" s="503"/>
      <c r="AZ12" s="503"/>
      <c r="BA12" s="503"/>
      <c r="BB12" s="504"/>
      <c r="BC12" s="52"/>
      <c r="BD12" s="131">
        <f t="shared" si="18"/>
        <v>0</v>
      </c>
      <c r="BE12" s="131">
        <f t="shared" si="2"/>
        <v>0</v>
      </c>
      <c r="BF12" s="131">
        <f t="shared" si="19"/>
        <v>0</v>
      </c>
      <c r="BG12" s="131">
        <f t="shared" si="3"/>
        <v>0</v>
      </c>
      <c r="BH12" s="132">
        <f t="shared" si="4"/>
        <v>0</v>
      </c>
      <c r="BI12" s="132">
        <f t="shared" si="20"/>
        <v>0</v>
      </c>
      <c r="BJ12" s="132">
        <f t="shared" si="21"/>
        <v>0</v>
      </c>
      <c r="BK12" s="132">
        <f t="shared" si="5"/>
        <v>0</v>
      </c>
      <c r="BL12" s="128" t="str">
        <f t="shared" si="6"/>
        <v/>
      </c>
      <c r="BM12" s="128" t="str">
        <f t="shared" si="7"/>
        <v/>
      </c>
      <c r="BN12" s="128" t="str">
        <f t="shared" si="8"/>
        <v/>
      </c>
      <c r="BO12" s="128" t="str">
        <f t="shared" si="9"/>
        <v/>
      </c>
      <c r="BP12" s="128" t="str">
        <f t="shared" si="10"/>
        <v/>
      </c>
      <c r="BQ12" s="128" t="str">
        <f t="shared" si="11"/>
        <v/>
      </c>
      <c r="BR12" s="128" t="str">
        <f t="shared" si="12"/>
        <v/>
      </c>
      <c r="BS12" s="128"/>
      <c r="BT12" s="128" t="str">
        <f t="shared" si="13"/>
        <v/>
      </c>
      <c r="BU12" s="128"/>
      <c r="BV12" s="128" t="str">
        <f t="shared" si="14"/>
        <v/>
      </c>
      <c r="BW12" s="128"/>
      <c r="BX12" s="122" t="s">
        <v>166</v>
      </c>
      <c r="CA12" s="129">
        <v>1624000</v>
      </c>
      <c r="CB12" s="129"/>
      <c r="CC12" s="129">
        <v>1074000</v>
      </c>
      <c r="CD12" s="120"/>
    </row>
    <row r="13" spans="1:82" ht="19" customHeight="1">
      <c r="A13" s="130" t="s">
        <v>167</v>
      </c>
      <c r="B13" s="499"/>
      <c r="C13" s="499"/>
      <c r="D13" s="499"/>
      <c r="E13" s="499"/>
      <c r="F13" s="499"/>
      <c r="G13" s="499"/>
      <c r="H13" s="499"/>
      <c r="I13" s="500"/>
      <c r="J13" s="500"/>
      <c r="K13" s="500"/>
      <c r="L13" s="500"/>
      <c r="M13" s="500"/>
      <c r="N13" s="500"/>
      <c r="O13" s="500"/>
      <c r="P13" s="500"/>
      <c r="Q13" s="500"/>
      <c r="R13" s="500"/>
      <c r="S13" s="500"/>
      <c r="T13" s="500"/>
      <c r="U13" s="500"/>
      <c r="V13" s="500"/>
      <c r="W13" s="500"/>
      <c r="X13" s="500"/>
      <c r="Y13" s="500"/>
      <c r="Z13" s="500"/>
      <c r="AA13" s="501"/>
      <c r="AB13" s="502"/>
      <c r="AC13" s="501"/>
      <c r="AD13" s="502"/>
      <c r="AE13" s="503">
        <f t="shared" si="15"/>
        <v>0</v>
      </c>
      <c r="AF13" s="503"/>
      <c r="AG13" s="503"/>
      <c r="AH13" s="503"/>
      <c r="AI13" s="503"/>
      <c r="AJ13" s="504"/>
      <c r="AK13" s="503">
        <f t="shared" si="16"/>
        <v>0</v>
      </c>
      <c r="AL13" s="503"/>
      <c r="AM13" s="503"/>
      <c r="AN13" s="503"/>
      <c r="AO13" s="503"/>
      <c r="AP13" s="504"/>
      <c r="AQ13" s="503">
        <f t="shared" si="17"/>
        <v>0</v>
      </c>
      <c r="AR13" s="503"/>
      <c r="AS13" s="503"/>
      <c r="AT13" s="503"/>
      <c r="AU13" s="503"/>
      <c r="AV13" s="504"/>
      <c r="AW13" s="503">
        <f t="shared" si="1"/>
        <v>0</v>
      </c>
      <c r="AX13" s="503"/>
      <c r="AY13" s="503"/>
      <c r="AZ13" s="503"/>
      <c r="BA13" s="503"/>
      <c r="BB13" s="504"/>
      <c r="BC13" s="52"/>
      <c r="BD13" s="131">
        <f t="shared" si="18"/>
        <v>0</v>
      </c>
      <c r="BE13" s="131">
        <f t="shared" si="2"/>
        <v>0</v>
      </c>
      <c r="BF13" s="131">
        <f t="shared" si="19"/>
        <v>0</v>
      </c>
      <c r="BG13" s="131">
        <f t="shared" si="3"/>
        <v>0</v>
      </c>
      <c r="BH13" s="132">
        <f t="shared" si="4"/>
        <v>0</v>
      </c>
      <c r="BI13" s="132">
        <f t="shared" si="20"/>
        <v>0</v>
      </c>
      <c r="BJ13" s="132">
        <f t="shared" si="21"/>
        <v>0</v>
      </c>
      <c r="BK13" s="132">
        <f t="shared" si="5"/>
        <v>0</v>
      </c>
      <c r="BL13" s="128" t="str">
        <f t="shared" si="6"/>
        <v/>
      </c>
      <c r="BM13" s="128" t="str">
        <f t="shared" si="7"/>
        <v/>
      </c>
      <c r="BN13" s="128" t="str">
        <f t="shared" si="8"/>
        <v/>
      </c>
      <c r="BO13" s="128" t="str">
        <f t="shared" si="9"/>
        <v/>
      </c>
      <c r="BP13" s="128" t="str">
        <f t="shared" si="10"/>
        <v/>
      </c>
      <c r="BQ13" s="128" t="str">
        <f t="shared" si="11"/>
        <v/>
      </c>
      <c r="BR13" s="128" t="str">
        <f t="shared" si="12"/>
        <v/>
      </c>
      <c r="BS13" s="128"/>
      <c r="BT13" s="128" t="str">
        <f t="shared" si="13"/>
        <v/>
      </c>
      <c r="BU13" s="128"/>
      <c r="BV13" s="128" t="str">
        <f t="shared" si="14"/>
        <v/>
      </c>
      <c r="BW13" s="128"/>
      <c r="BX13" s="122" t="s">
        <v>168</v>
      </c>
      <c r="CA13" s="129">
        <v>1628000</v>
      </c>
      <c r="CB13" s="129">
        <v>2.4</v>
      </c>
      <c r="CC13" s="129">
        <v>100000</v>
      </c>
      <c r="CD13" s="120"/>
    </row>
    <row r="14" spans="1:82" ht="19" customHeight="1">
      <c r="A14" s="130" t="s">
        <v>169</v>
      </c>
      <c r="B14" s="499"/>
      <c r="C14" s="499"/>
      <c r="D14" s="499"/>
      <c r="E14" s="499"/>
      <c r="F14" s="499"/>
      <c r="G14" s="499"/>
      <c r="H14" s="499"/>
      <c r="I14" s="500"/>
      <c r="J14" s="500"/>
      <c r="K14" s="500"/>
      <c r="L14" s="500"/>
      <c r="M14" s="500"/>
      <c r="N14" s="500"/>
      <c r="O14" s="500"/>
      <c r="P14" s="500"/>
      <c r="Q14" s="500"/>
      <c r="R14" s="500"/>
      <c r="S14" s="500"/>
      <c r="T14" s="500"/>
      <c r="U14" s="500"/>
      <c r="V14" s="500"/>
      <c r="W14" s="500"/>
      <c r="X14" s="500"/>
      <c r="Y14" s="500"/>
      <c r="Z14" s="500"/>
      <c r="AA14" s="501"/>
      <c r="AB14" s="502"/>
      <c r="AC14" s="501"/>
      <c r="AD14" s="502"/>
      <c r="AE14" s="503">
        <f t="shared" si="15"/>
        <v>0</v>
      </c>
      <c r="AF14" s="503"/>
      <c r="AG14" s="503"/>
      <c r="AH14" s="503"/>
      <c r="AI14" s="503"/>
      <c r="AJ14" s="504"/>
      <c r="AK14" s="503">
        <f t="shared" si="16"/>
        <v>0</v>
      </c>
      <c r="AL14" s="503"/>
      <c r="AM14" s="503"/>
      <c r="AN14" s="503"/>
      <c r="AO14" s="503"/>
      <c r="AP14" s="504"/>
      <c r="AQ14" s="503">
        <f t="shared" si="17"/>
        <v>0</v>
      </c>
      <c r="AR14" s="503"/>
      <c r="AS14" s="503"/>
      <c r="AT14" s="503"/>
      <c r="AU14" s="503"/>
      <c r="AV14" s="504"/>
      <c r="AW14" s="503">
        <f t="shared" si="1"/>
        <v>0</v>
      </c>
      <c r="AX14" s="503"/>
      <c r="AY14" s="503"/>
      <c r="AZ14" s="503"/>
      <c r="BA14" s="503"/>
      <c r="BB14" s="504"/>
      <c r="BC14" s="52"/>
      <c r="BD14" s="131">
        <f t="shared" si="18"/>
        <v>0</v>
      </c>
      <c r="BE14" s="131">
        <f t="shared" si="2"/>
        <v>0</v>
      </c>
      <c r="BF14" s="131">
        <f t="shared" si="19"/>
        <v>0</v>
      </c>
      <c r="BG14" s="131">
        <f t="shared" si="3"/>
        <v>0</v>
      </c>
      <c r="BH14" s="132">
        <f t="shared" si="4"/>
        <v>0</v>
      </c>
      <c r="BI14" s="132">
        <f t="shared" si="20"/>
        <v>0</v>
      </c>
      <c r="BJ14" s="132">
        <f t="shared" si="21"/>
        <v>0</v>
      </c>
      <c r="BK14" s="132">
        <f t="shared" si="5"/>
        <v>0</v>
      </c>
      <c r="BL14" s="128" t="str">
        <f t="shared" si="6"/>
        <v/>
      </c>
      <c r="BM14" s="128" t="str">
        <f t="shared" si="7"/>
        <v/>
      </c>
      <c r="BN14" s="128" t="str">
        <f t="shared" si="8"/>
        <v/>
      </c>
      <c r="BO14" s="128" t="str">
        <f t="shared" si="9"/>
        <v/>
      </c>
      <c r="BP14" s="128" t="str">
        <f t="shared" si="10"/>
        <v/>
      </c>
      <c r="BQ14" s="128" t="str">
        <f t="shared" si="11"/>
        <v/>
      </c>
      <c r="BR14" s="128" t="str">
        <f t="shared" si="12"/>
        <v/>
      </c>
      <c r="BS14" s="128"/>
      <c r="BT14" s="128" t="str">
        <f t="shared" si="13"/>
        <v/>
      </c>
      <c r="BU14" s="128"/>
      <c r="BV14" s="128" t="str">
        <f t="shared" si="14"/>
        <v/>
      </c>
      <c r="BW14" s="128"/>
      <c r="BX14" s="122" t="s">
        <v>170</v>
      </c>
      <c r="CA14" s="129">
        <v>1800000</v>
      </c>
      <c r="CB14" s="129">
        <v>2.8</v>
      </c>
      <c r="CC14" s="129">
        <v>80000</v>
      </c>
      <c r="CD14" s="120"/>
    </row>
    <row r="15" spans="1:82" ht="19" customHeight="1">
      <c r="A15" s="130" t="s">
        <v>171</v>
      </c>
      <c r="B15" s="499"/>
      <c r="C15" s="499"/>
      <c r="D15" s="499"/>
      <c r="E15" s="499"/>
      <c r="F15" s="499"/>
      <c r="G15" s="499"/>
      <c r="H15" s="499"/>
      <c r="I15" s="500"/>
      <c r="J15" s="500"/>
      <c r="K15" s="500"/>
      <c r="L15" s="500"/>
      <c r="M15" s="500"/>
      <c r="N15" s="500"/>
      <c r="O15" s="500"/>
      <c r="P15" s="500"/>
      <c r="Q15" s="500"/>
      <c r="R15" s="500"/>
      <c r="S15" s="500"/>
      <c r="T15" s="500"/>
      <c r="U15" s="500"/>
      <c r="V15" s="500"/>
      <c r="W15" s="500"/>
      <c r="X15" s="500"/>
      <c r="Y15" s="500"/>
      <c r="Z15" s="500"/>
      <c r="AA15" s="501"/>
      <c r="AB15" s="502"/>
      <c r="AC15" s="501"/>
      <c r="AD15" s="502"/>
      <c r="AE15" s="503">
        <f t="shared" si="15"/>
        <v>0</v>
      </c>
      <c r="AF15" s="503"/>
      <c r="AG15" s="503"/>
      <c r="AH15" s="503"/>
      <c r="AI15" s="503"/>
      <c r="AJ15" s="504"/>
      <c r="AK15" s="503">
        <f t="shared" si="16"/>
        <v>0</v>
      </c>
      <c r="AL15" s="503"/>
      <c r="AM15" s="503"/>
      <c r="AN15" s="503"/>
      <c r="AO15" s="503"/>
      <c r="AP15" s="504"/>
      <c r="AQ15" s="503">
        <f t="shared" si="17"/>
        <v>0</v>
      </c>
      <c r="AR15" s="503"/>
      <c r="AS15" s="503"/>
      <c r="AT15" s="503"/>
      <c r="AU15" s="503"/>
      <c r="AV15" s="504"/>
      <c r="AW15" s="503">
        <f t="shared" si="1"/>
        <v>0</v>
      </c>
      <c r="AX15" s="503"/>
      <c r="AY15" s="503"/>
      <c r="AZ15" s="503"/>
      <c r="BA15" s="503"/>
      <c r="BB15" s="504"/>
      <c r="BC15" s="52"/>
      <c r="BD15" s="131">
        <f t="shared" si="18"/>
        <v>0</v>
      </c>
      <c r="BE15" s="131">
        <f t="shared" si="2"/>
        <v>0</v>
      </c>
      <c r="BF15" s="131">
        <f t="shared" si="19"/>
        <v>0</v>
      </c>
      <c r="BG15" s="131">
        <f t="shared" si="3"/>
        <v>0</v>
      </c>
      <c r="BH15" s="132">
        <f t="shared" si="4"/>
        <v>0</v>
      </c>
      <c r="BI15" s="132">
        <f t="shared" si="20"/>
        <v>0</v>
      </c>
      <c r="BJ15" s="132">
        <f t="shared" si="21"/>
        <v>0</v>
      </c>
      <c r="BK15" s="132">
        <f t="shared" si="5"/>
        <v>0</v>
      </c>
      <c r="BL15" s="128" t="str">
        <f t="shared" si="6"/>
        <v/>
      </c>
      <c r="BM15" s="128" t="str">
        <f t="shared" si="7"/>
        <v/>
      </c>
      <c r="BN15" s="128" t="str">
        <f t="shared" si="8"/>
        <v/>
      </c>
      <c r="BO15" s="128" t="str">
        <f t="shared" si="9"/>
        <v/>
      </c>
      <c r="BP15" s="128" t="str">
        <f t="shared" si="10"/>
        <v/>
      </c>
      <c r="BQ15" s="128" t="str">
        <f t="shared" si="11"/>
        <v/>
      </c>
      <c r="BR15" s="128" t="str">
        <f t="shared" si="12"/>
        <v/>
      </c>
      <c r="BS15" s="128"/>
      <c r="BT15" s="128" t="str">
        <f t="shared" si="13"/>
        <v/>
      </c>
      <c r="BU15" s="128"/>
      <c r="BV15" s="128" t="str">
        <f t="shared" si="14"/>
        <v/>
      </c>
      <c r="BW15" s="128"/>
      <c r="BX15" s="122" t="s">
        <v>172</v>
      </c>
      <c r="CA15" s="129">
        <v>3600000</v>
      </c>
      <c r="CB15" s="129">
        <v>3.2</v>
      </c>
      <c r="CC15" s="129">
        <v>440000</v>
      </c>
      <c r="CD15" s="120"/>
    </row>
    <row r="16" spans="1:82" ht="19" customHeight="1">
      <c r="AE16" s="52" t="s">
        <v>173</v>
      </c>
      <c r="AI16" s="52"/>
      <c r="AJ16" s="52"/>
      <c r="AK16" s="52" t="s">
        <v>174</v>
      </c>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S16" s="128">
        <f>IF(SUM(BM8:BM15)&gt;0,IR_BYO,0)</f>
        <v>0</v>
      </c>
      <c r="BU16" s="128">
        <f>IF(SUM(BO8:BO15)&gt;0,SI_BYO,0)</f>
        <v>0</v>
      </c>
      <c r="BW16" s="128">
        <f>IF(SUM(BQ8:BQ15)&gt;0,KG_BYO,0)</f>
        <v>0</v>
      </c>
      <c r="BX16" s="122" t="s">
        <v>175</v>
      </c>
      <c r="CA16" s="129">
        <v>6600000</v>
      </c>
      <c r="CB16" s="129">
        <v>0.9</v>
      </c>
      <c r="CC16" s="129">
        <v>1100000</v>
      </c>
      <c r="CD16" s="120"/>
    </row>
    <row r="17" spans="2:81" ht="19" customHeight="1">
      <c r="B17" s="63"/>
      <c r="C17" s="10"/>
      <c r="D17" s="10"/>
      <c r="AI17" s="1"/>
      <c r="AJ17" s="1"/>
      <c r="AK17" s="1"/>
      <c r="AL17" s="1"/>
      <c r="AM17" s="1"/>
      <c r="AN17" s="1"/>
      <c r="AO17" s="1"/>
      <c r="AP17" s="1"/>
      <c r="AQ17" s="1"/>
      <c r="AR17" s="1"/>
      <c r="AS17" s="1"/>
      <c r="AT17" s="1"/>
      <c r="AU17" s="1"/>
      <c r="AV17" s="1"/>
      <c r="AW17" s="1"/>
      <c r="AX17" s="1"/>
      <c r="AY17" s="1"/>
      <c r="AZ17" s="1"/>
      <c r="BA17" s="1"/>
      <c r="BB17" s="52"/>
      <c r="BC17" s="52"/>
      <c r="BD17" s="52"/>
      <c r="BE17" s="52"/>
      <c r="BF17" s="52"/>
      <c r="BG17" s="52"/>
      <c r="BH17" s="52"/>
      <c r="BI17" s="52"/>
      <c r="BL17" s="120" t="s">
        <v>176</v>
      </c>
      <c r="BM17" s="120" t="s">
        <v>177</v>
      </c>
      <c r="BX17" s="124" t="s">
        <v>178</v>
      </c>
      <c r="CA17" s="129">
        <v>8500000</v>
      </c>
      <c r="CB17" s="129"/>
      <c r="CC17" s="129">
        <v>1950000</v>
      </c>
    </row>
    <row r="18" spans="2:81" ht="19" customHeight="1">
      <c r="B18" s="10"/>
      <c r="C18" s="10"/>
      <c r="D18" s="10"/>
      <c r="AI18" s="133"/>
      <c r="AJ18" s="133"/>
      <c r="AK18" s="133"/>
      <c r="AL18" s="133"/>
      <c r="AM18" s="133"/>
      <c r="AN18" s="133"/>
      <c r="AO18" s="133"/>
      <c r="AP18" s="133"/>
      <c r="AQ18" s="133"/>
      <c r="AR18" s="133"/>
      <c r="AS18" s="133"/>
      <c r="AT18" s="133"/>
      <c r="AU18" s="133"/>
      <c r="AV18" s="133"/>
      <c r="AW18" s="133"/>
      <c r="AX18" s="133"/>
      <c r="AY18" s="133"/>
      <c r="AZ18" s="133"/>
      <c r="BA18" s="133"/>
      <c r="BB18" s="52"/>
      <c r="BC18" s="52"/>
      <c r="BD18" s="52"/>
      <c r="BE18" s="52"/>
      <c r="BF18" s="52"/>
      <c r="BG18" s="52"/>
      <c r="BH18" s="52"/>
      <c r="BI18" s="52"/>
      <c r="BL18" s="128">
        <f>SUM(BG8:BG15)</f>
        <v>0</v>
      </c>
      <c r="BM18" s="128">
        <f>IF(SUM(BF8:BF15)=0,1,SUM(BF8:BF15))</f>
        <v>1</v>
      </c>
    </row>
    <row r="19" spans="2:81" ht="19" customHeight="1">
      <c r="B19" s="63"/>
      <c r="C19" s="10"/>
      <c r="D19" s="10"/>
      <c r="AI19" s="133"/>
      <c r="AJ19" s="133"/>
      <c r="AK19" s="133"/>
      <c r="AL19" s="133"/>
      <c r="AM19" s="133"/>
      <c r="AN19" s="133"/>
      <c r="AO19" s="133"/>
      <c r="AP19" s="133"/>
      <c r="AQ19" s="133"/>
      <c r="AR19" s="133"/>
      <c r="AS19" s="133"/>
      <c r="AT19" s="133"/>
      <c r="AU19" s="133"/>
      <c r="AV19" s="133"/>
      <c r="AW19" s="133"/>
      <c r="AX19" s="133"/>
      <c r="AY19" s="133"/>
      <c r="AZ19" s="133"/>
      <c r="BA19" s="133"/>
      <c r="BB19" s="52"/>
      <c r="BC19" s="52"/>
      <c r="BD19" s="52"/>
      <c r="BE19" s="52"/>
      <c r="BF19" s="52"/>
      <c r="BG19" s="52"/>
      <c r="BH19" s="52"/>
      <c r="BI19" s="52"/>
      <c r="BL19" s="120" t="s">
        <v>52</v>
      </c>
      <c r="BM19" s="120" t="s">
        <v>51</v>
      </c>
      <c r="BN19" s="120" t="s">
        <v>50</v>
      </c>
      <c r="CA19" s="3" t="s">
        <v>139</v>
      </c>
    </row>
    <row r="20" spans="2:81" ht="19" customHeight="1" thickBot="1">
      <c r="B20" s="10"/>
      <c r="C20" s="10"/>
      <c r="D20" s="10"/>
      <c r="AI20" s="133"/>
      <c r="AJ20" s="133"/>
      <c r="AK20" s="133"/>
      <c r="AL20" s="133"/>
      <c r="AM20" s="133"/>
      <c r="AN20" s="133"/>
      <c r="AO20" s="133"/>
      <c r="AP20" s="133"/>
      <c r="AQ20" s="133"/>
      <c r="AR20" s="133"/>
      <c r="AS20" s="133"/>
      <c r="AT20" s="133"/>
      <c r="AU20" s="133"/>
      <c r="AV20" s="133"/>
      <c r="AW20" s="133"/>
      <c r="AX20" s="133"/>
      <c r="AY20" s="133"/>
      <c r="AZ20" s="133"/>
      <c r="BA20" s="133"/>
      <c r="BB20" s="52"/>
      <c r="BC20" s="52"/>
      <c r="BD20" s="52"/>
      <c r="BE20" s="52"/>
      <c r="BF20" s="52"/>
      <c r="BG20" s="52"/>
      <c r="BH20" s="52"/>
      <c r="BI20" s="52"/>
      <c r="BK20" s="119" t="s">
        <v>179</v>
      </c>
      <c r="BL20" s="128">
        <f>IF(SUM(BM8:BM15)&gt;0,430000+(100000*(BM18-1)),0)</f>
        <v>0</v>
      </c>
      <c r="BM20" s="128" t="b">
        <f>IF(SUM(BM8:BM15)&gt;0,BL18*285000+430000+(100000*(BM18-1)))</f>
        <v>0</v>
      </c>
      <c r="BN20" s="128" t="b">
        <f>IF(SUM(BM8:BM15)&gt;0,BL18*520000+430000+(100000*(BM18-1)))</f>
        <v>0</v>
      </c>
      <c r="CA20" s="129">
        <v>0</v>
      </c>
      <c r="CB20" s="129"/>
      <c r="CC20" s="129">
        <v>600000</v>
      </c>
    </row>
    <row r="21" spans="2:81" ht="19" customHeight="1" thickTop="1" thickBot="1">
      <c r="B21" s="507" t="s">
        <v>180</v>
      </c>
      <c r="C21" s="507"/>
      <c r="D21" s="507"/>
      <c r="E21" s="507"/>
      <c r="F21" s="507"/>
      <c r="G21" s="507"/>
      <c r="H21" s="507"/>
      <c r="I21" s="507"/>
      <c r="J21" s="507"/>
      <c r="K21" s="507"/>
      <c r="L21" s="507"/>
      <c r="M21" s="507"/>
      <c r="N21" s="507"/>
      <c r="O21" s="507"/>
      <c r="P21" s="507"/>
      <c r="Q21" s="508"/>
      <c r="R21" s="509" t="str">
        <f>IF(KANYU="","",L32+Q32+V32)</f>
        <v/>
      </c>
      <c r="S21" s="510"/>
      <c r="T21" s="510"/>
      <c r="U21" s="510"/>
      <c r="V21" s="510"/>
      <c r="W21" s="511"/>
      <c r="X21" s="1" t="s">
        <v>181</v>
      </c>
      <c r="AD21" s="512" t="s">
        <v>182</v>
      </c>
      <c r="AE21" s="513"/>
      <c r="AF21" s="513"/>
      <c r="AG21" s="513"/>
      <c r="AH21" s="513"/>
      <c r="AI21" s="513"/>
      <c r="AJ21" s="513"/>
      <c r="AK21" s="513"/>
      <c r="AL21" s="513"/>
      <c r="AM21" s="513"/>
      <c r="AN21" s="513"/>
      <c r="AO21" s="513"/>
      <c r="AP21" s="513"/>
      <c r="AQ21" s="513"/>
      <c r="AR21" s="513"/>
      <c r="AS21" s="513"/>
      <c r="AT21" s="513"/>
      <c r="AU21" s="513"/>
      <c r="AV21" s="513"/>
      <c r="AW21" s="513"/>
      <c r="AX21" s="513"/>
      <c r="AY21" s="513"/>
      <c r="AZ21" s="513"/>
      <c r="BA21" s="513"/>
      <c r="BB21" s="513"/>
      <c r="BC21" s="513"/>
      <c r="BD21" s="52"/>
      <c r="BE21" s="52"/>
      <c r="BF21" s="52"/>
      <c r="BG21" s="52"/>
      <c r="BH21" s="52"/>
      <c r="BI21" s="52"/>
      <c r="BK21" s="119" t="s">
        <v>183</v>
      </c>
      <c r="BL21" s="128" t="str">
        <f>IF(BL18&gt;0,IF(BL22&lt;=BL20,"７割",IF(BL22&lt;=BM20,"５割",IF(BL22&lt;=BN20,"２割",""))),"")</f>
        <v/>
      </c>
      <c r="BV21" s="120" t="s">
        <v>184</v>
      </c>
      <c r="BW21" s="120" t="s">
        <v>185</v>
      </c>
      <c r="BX21" s="134">
        <v>0.05</v>
      </c>
      <c r="CA21" s="129">
        <v>1300000</v>
      </c>
      <c r="CB21" s="129">
        <v>0.75</v>
      </c>
      <c r="CC21" s="129">
        <v>275000</v>
      </c>
    </row>
    <row r="22" spans="2:81" ht="19" customHeight="1" thickTop="1" thickBot="1">
      <c r="B22" s="15"/>
      <c r="C22" s="15"/>
      <c r="D22" s="15"/>
      <c r="E22" s="15"/>
      <c r="F22" s="15"/>
      <c r="G22" s="15"/>
      <c r="H22" s="15"/>
      <c r="I22" s="15"/>
      <c r="J22" s="15"/>
      <c r="K22" s="15"/>
      <c r="L22" s="15"/>
      <c r="M22" s="15"/>
      <c r="N22" s="15"/>
      <c r="O22" s="15"/>
      <c r="P22" s="15"/>
      <c r="Q22" s="15"/>
      <c r="AD22" s="513"/>
      <c r="AE22" s="513"/>
      <c r="AF22" s="513"/>
      <c r="AG22" s="513"/>
      <c r="AH22" s="513"/>
      <c r="AI22" s="513"/>
      <c r="AJ22" s="513"/>
      <c r="AK22" s="513"/>
      <c r="AL22" s="513"/>
      <c r="AM22" s="513"/>
      <c r="AN22" s="513"/>
      <c r="AO22" s="513"/>
      <c r="AP22" s="513"/>
      <c r="AQ22" s="513"/>
      <c r="AR22" s="513"/>
      <c r="AS22" s="513"/>
      <c r="AT22" s="513"/>
      <c r="AU22" s="513"/>
      <c r="AV22" s="513"/>
      <c r="AW22" s="513"/>
      <c r="AX22" s="513"/>
      <c r="AY22" s="513"/>
      <c r="AZ22" s="513"/>
      <c r="BA22" s="513"/>
      <c r="BB22" s="513"/>
      <c r="BC22" s="513"/>
      <c r="BD22" s="52"/>
      <c r="BE22" s="52"/>
      <c r="BF22" s="52"/>
      <c r="BG22" s="52"/>
      <c r="BH22" s="52"/>
      <c r="BI22" s="52"/>
      <c r="BK22" s="135" t="s">
        <v>186</v>
      </c>
      <c r="BL22" s="136">
        <f>SUM(BK8:BK15)</f>
        <v>0</v>
      </c>
      <c r="BM22" s="137"/>
      <c r="BW22" s="120" t="s">
        <v>187</v>
      </c>
      <c r="BX22" s="134">
        <v>1.7999999999999999E-2</v>
      </c>
      <c r="CA22" s="129">
        <v>4100000</v>
      </c>
      <c r="CB22" s="129">
        <v>0.85</v>
      </c>
      <c r="CC22" s="129">
        <v>685000</v>
      </c>
    </row>
    <row r="23" spans="2:81" ht="19" customHeight="1" thickTop="1" thickBot="1">
      <c r="B23" s="514" t="s">
        <v>188</v>
      </c>
      <c r="C23" s="514"/>
      <c r="D23" s="514"/>
      <c r="E23" s="514"/>
      <c r="F23" s="514"/>
      <c r="G23" s="514"/>
      <c r="H23" s="514"/>
      <c r="I23" s="514"/>
      <c r="J23" s="514"/>
      <c r="K23" s="514"/>
      <c r="L23" s="514"/>
      <c r="M23" s="514"/>
      <c r="N23" s="514"/>
      <c r="O23" s="514"/>
      <c r="P23" s="514"/>
      <c r="Q23" s="515"/>
      <c r="R23" s="516" t="str">
        <f>IF(KGN&lt;&gt;"",KGN&amp;"軽減","")</f>
        <v/>
      </c>
      <c r="S23" s="517"/>
      <c r="T23" s="517"/>
      <c r="U23" s="517"/>
      <c r="V23" s="517"/>
      <c r="W23" s="518"/>
      <c r="AD23" s="513"/>
      <c r="AE23" s="513"/>
      <c r="AF23" s="513"/>
      <c r="AG23" s="513"/>
      <c r="AH23" s="513"/>
      <c r="AI23" s="513"/>
      <c r="AJ23" s="513"/>
      <c r="AK23" s="513"/>
      <c r="AL23" s="513"/>
      <c r="AM23" s="513"/>
      <c r="AN23" s="513"/>
      <c r="AO23" s="513"/>
      <c r="AP23" s="513"/>
      <c r="AQ23" s="513"/>
      <c r="AR23" s="513"/>
      <c r="AS23" s="513"/>
      <c r="AT23" s="513"/>
      <c r="AU23" s="513"/>
      <c r="AV23" s="513"/>
      <c r="AW23" s="513"/>
      <c r="AX23" s="513"/>
      <c r="AY23" s="513"/>
      <c r="AZ23" s="513"/>
      <c r="BA23" s="513"/>
      <c r="BB23" s="513"/>
      <c r="BC23" s="513"/>
      <c r="BD23" s="52"/>
      <c r="BE23" s="52"/>
      <c r="BF23" s="52"/>
      <c r="BG23" s="52"/>
      <c r="BH23" s="52"/>
      <c r="BI23" s="52"/>
      <c r="BK23" s="119" t="s">
        <v>183</v>
      </c>
      <c r="BL23" s="120">
        <f>IF(BL21="",1,VLOOKUP(BL21,$BL$24:$BM$27,2,FALSE))</f>
        <v>1</v>
      </c>
      <c r="BW23" s="120" t="s">
        <v>189</v>
      </c>
      <c r="BX23" s="134">
        <v>1.4999999999999999E-2</v>
      </c>
      <c r="CA23" s="129">
        <v>7700000</v>
      </c>
      <c r="CB23" s="129">
        <v>0.95</v>
      </c>
      <c r="CC23" s="129">
        <v>1455000</v>
      </c>
    </row>
    <row r="24" spans="2:81" ht="19" customHeight="1" thickTop="1">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3"/>
      <c r="AZ24" s="513"/>
      <c r="BA24" s="513"/>
      <c r="BB24" s="513"/>
      <c r="BC24" s="513"/>
      <c r="BD24" s="52"/>
      <c r="BE24" s="52"/>
      <c r="BF24" s="52"/>
      <c r="BG24" s="52"/>
      <c r="BH24" s="52"/>
      <c r="BI24" s="52"/>
      <c r="BL24" s="120" t="s">
        <v>113</v>
      </c>
      <c r="BM24" s="120">
        <v>0.3</v>
      </c>
      <c r="BV24" s="120" t="s">
        <v>190</v>
      </c>
      <c r="BW24" s="120" t="s">
        <v>185</v>
      </c>
      <c r="BX24" s="134">
        <v>25900</v>
      </c>
      <c r="CA24" s="129">
        <v>10000000</v>
      </c>
      <c r="CB24" s="129"/>
      <c r="CC24" s="129">
        <v>1955000</v>
      </c>
    </row>
    <row r="25" spans="2:81" ht="19" customHeight="1">
      <c r="B25" s="1" t="s">
        <v>191</v>
      </c>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3"/>
      <c r="AZ25" s="513"/>
      <c r="BA25" s="513"/>
      <c r="BB25" s="513"/>
      <c r="BC25" s="513"/>
      <c r="BD25" s="52"/>
      <c r="BE25" s="52"/>
      <c r="BF25" s="52"/>
      <c r="BG25" s="52"/>
      <c r="BH25" s="52"/>
      <c r="BI25" s="52"/>
      <c r="BL25" s="120" t="s">
        <v>112</v>
      </c>
      <c r="BM25" s="120">
        <v>0.5</v>
      </c>
      <c r="BW25" s="120" t="s">
        <v>187</v>
      </c>
      <c r="BX25" s="134">
        <v>9800</v>
      </c>
      <c r="CA25" s="129">
        <v>0</v>
      </c>
      <c r="CB25" s="129"/>
      <c r="CC25" s="129">
        <v>1100000</v>
      </c>
    </row>
    <row r="26" spans="2:81" ht="19" customHeight="1">
      <c r="B26" s="525" t="s">
        <v>46</v>
      </c>
      <c r="C26" s="525"/>
      <c r="D26" s="525"/>
      <c r="E26" s="525"/>
      <c r="F26" s="525"/>
      <c r="G26" s="525"/>
      <c r="H26" s="525"/>
      <c r="I26" s="525"/>
      <c r="J26" s="525"/>
      <c r="K26" s="526"/>
      <c r="L26" s="525" t="s">
        <v>41</v>
      </c>
      <c r="M26" s="525"/>
      <c r="N26" s="525"/>
      <c r="O26" s="525"/>
      <c r="P26" s="525"/>
      <c r="Q26" s="525" t="s">
        <v>40</v>
      </c>
      <c r="R26" s="525"/>
      <c r="S26" s="525"/>
      <c r="T26" s="525"/>
      <c r="U26" s="525"/>
      <c r="V26" s="525" t="s">
        <v>39</v>
      </c>
      <c r="W26" s="525"/>
      <c r="X26" s="525"/>
      <c r="Y26" s="525"/>
      <c r="Z26" s="525"/>
      <c r="AA26" s="6"/>
      <c r="AB26" s="6"/>
      <c r="AC26" s="6"/>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3"/>
      <c r="AZ26" s="513"/>
      <c r="BA26" s="513"/>
      <c r="BB26" s="513"/>
      <c r="BC26" s="513"/>
      <c r="BF26" s="52"/>
      <c r="BG26" s="52"/>
      <c r="BH26" s="52"/>
      <c r="BI26" s="52"/>
      <c r="BL26" s="120" t="s">
        <v>111</v>
      </c>
      <c r="BM26" s="120">
        <v>0.8</v>
      </c>
      <c r="BW26" s="120" t="s">
        <v>189</v>
      </c>
      <c r="BX26" s="134">
        <v>12200</v>
      </c>
      <c r="CA26" s="129">
        <v>3300000</v>
      </c>
      <c r="CB26" s="129">
        <v>0.75</v>
      </c>
      <c r="CC26" s="129">
        <v>275000</v>
      </c>
    </row>
    <row r="27" spans="2:81" ht="19" customHeight="1">
      <c r="B27" s="519" t="s">
        <v>34</v>
      </c>
      <c r="C27" s="519"/>
      <c r="D27" s="519"/>
      <c r="E27" s="519"/>
      <c r="F27" s="519"/>
      <c r="G27" s="519"/>
      <c r="H27" s="519"/>
      <c r="I27" s="519"/>
      <c r="J27" s="519"/>
      <c r="K27" s="519"/>
      <c r="L27" s="521" t="str">
        <f>IF(KANYU="","",SUM(BL8:BL15))</f>
        <v/>
      </c>
      <c r="M27" s="521"/>
      <c r="N27" s="521"/>
      <c r="O27" s="521"/>
      <c r="P27" s="138" t="s">
        <v>181</v>
      </c>
      <c r="Q27" s="521" t="str">
        <f>IF(KANYU="","",SUM(BN8:BN15))</f>
        <v/>
      </c>
      <c r="R27" s="521"/>
      <c r="S27" s="521"/>
      <c r="T27" s="521"/>
      <c r="U27" s="138" t="s">
        <v>181</v>
      </c>
      <c r="V27" s="521" t="str">
        <f>IF(KANYU="","",SUM(BP8:BP15))</f>
        <v/>
      </c>
      <c r="W27" s="521"/>
      <c r="X27" s="521"/>
      <c r="Y27" s="521"/>
      <c r="Z27" s="138" t="s">
        <v>181</v>
      </c>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3"/>
      <c r="AZ27" s="513"/>
      <c r="BA27" s="513"/>
      <c r="BB27" s="513"/>
      <c r="BC27" s="513"/>
      <c r="BF27" s="52"/>
      <c r="BG27" s="52"/>
      <c r="BH27" s="52"/>
      <c r="BI27" s="52"/>
      <c r="BV27" s="120" t="s">
        <v>192</v>
      </c>
      <c r="BW27" s="120" t="s">
        <v>185</v>
      </c>
      <c r="BX27" s="134">
        <v>0</v>
      </c>
      <c r="CA27" s="129">
        <v>4100000</v>
      </c>
      <c r="CB27" s="129">
        <v>0.85</v>
      </c>
      <c r="CC27" s="129">
        <v>685000</v>
      </c>
    </row>
    <row r="28" spans="2:81" ht="19" customHeight="1">
      <c r="B28" s="519" t="s">
        <v>193</v>
      </c>
      <c r="C28" s="519"/>
      <c r="D28" s="519"/>
      <c r="E28" s="519"/>
      <c r="F28" s="519"/>
      <c r="G28" s="519"/>
      <c r="H28" s="519"/>
      <c r="I28" s="519"/>
      <c r="J28" s="519"/>
      <c r="K28" s="520"/>
      <c r="L28" s="521" t="str">
        <f>IF(KANYU="","",SUM(BM8:BM15)*BL23)</f>
        <v/>
      </c>
      <c r="M28" s="521"/>
      <c r="N28" s="521"/>
      <c r="O28" s="521"/>
      <c r="P28" s="138" t="s">
        <v>181</v>
      </c>
      <c r="Q28" s="521" t="str">
        <f>IF(KANYU="","",SUM(BO8:BO15)*BL23)</f>
        <v/>
      </c>
      <c r="R28" s="521"/>
      <c r="S28" s="521"/>
      <c r="T28" s="521"/>
      <c r="U28" s="138" t="s">
        <v>181</v>
      </c>
      <c r="V28" s="521" t="str">
        <f>IF(KANYU="","",SUM(BQ8:BQ15)*BL23)</f>
        <v/>
      </c>
      <c r="W28" s="521"/>
      <c r="X28" s="521"/>
      <c r="Y28" s="521"/>
      <c r="Z28" s="138" t="s">
        <v>181</v>
      </c>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3"/>
      <c r="AZ28" s="513"/>
      <c r="BA28" s="513"/>
      <c r="BB28" s="513"/>
      <c r="BC28" s="513"/>
      <c r="BW28" s="120" t="s">
        <v>187</v>
      </c>
      <c r="BX28" s="134">
        <v>0</v>
      </c>
      <c r="CA28" s="129">
        <v>7700000</v>
      </c>
      <c r="CB28" s="129">
        <v>0.95</v>
      </c>
      <c r="CC28" s="129">
        <v>1455000</v>
      </c>
    </row>
    <row r="29" spans="2:81" ht="19" customHeight="1">
      <c r="B29" s="519" t="s">
        <v>194</v>
      </c>
      <c r="C29" s="519"/>
      <c r="D29" s="519"/>
      <c r="E29" s="519"/>
      <c r="F29" s="519"/>
      <c r="G29" s="519"/>
      <c r="H29" s="519"/>
      <c r="I29" s="519"/>
      <c r="J29" s="519"/>
      <c r="K29" s="520"/>
      <c r="L29" s="521" t="str">
        <f>IF(KANYU="","",TRUNC(L27+L28,-2))</f>
        <v/>
      </c>
      <c r="M29" s="521"/>
      <c r="N29" s="521"/>
      <c r="O29" s="521"/>
      <c r="P29" s="138" t="s">
        <v>181</v>
      </c>
      <c r="Q29" s="522" t="str">
        <f>IF(KANYU="","",TRUNC(Q27+Q28,-2))</f>
        <v/>
      </c>
      <c r="R29" s="523"/>
      <c r="S29" s="523"/>
      <c r="T29" s="524"/>
      <c r="U29" s="138" t="s">
        <v>181</v>
      </c>
      <c r="V29" s="521" t="str">
        <f>IF(KANYU="","",TRUNC(V27+V28,-2))</f>
        <v/>
      </c>
      <c r="W29" s="521"/>
      <c r="X29" s="521"/>
      <c r="Y29" s="521"/>
      <c r="Z29" s="138" t="s">
        <v>181</v>
      </c>
      <c r="AD29" s="513"/>
      <c r="AE29" s="513"/>
      <c r="AF29" s="513"/>
      <c r="AG29" s="513"/>
      <c r="AH29" s="513"/>
      <c r="AI29" s="513"/>
      <c r="AJ29" s="513"/>
      <c r="AK29" s="513"/>
      <c r="AL29" s="513"/>
      <c r="AM29" s="513"/>
      <c r="AN29" s="513"/>
      <c r="AO29" s="513"/>
      <c r="AP29" s="513"/>
      <c r="AQ29" s="513"/>
      <c r="AR29" s="513"/>
      <c r="AS29" s="513"/>
      <c r="AT29" s="513"/>
      <c r="AU29" s="513"/>
      <c r="AV29" s="513"/>
      <c r="AW29" s="513"/>
      <c r="AX29" s="513"/>
      <c r="AY29" s="513"/>
      <c r="AZ29" s="513"/>
      <c r="BA29" s="513"/>
      <c r="BB29" s="513"/>
      <c r="BC29" s="513"/>
      <c r="BW29" s="120" t="s">
        <v>189</v>
      </c>
      <c r="BX29" s="134">
        <v>0</v>
      </c>
      <c r="CA29" s="129">
        <v>10000000</v>
      </c>
      <c r="CB29" s="129"/>
      <c r="CC29" s="129">
        <v>1955000</v>
      </c>
    </row>
    <row r="30" spans="2:81" ht="19" customHeight="1">
      <c r="B30" s="519" t="s">
        <v>16</v>
      </c>
      <c r="C30" s="519"/>
      <c r="D30" s="519"/>
      <c r="E30" s="519"/>
      <c r="F30" s="519"/>
      <c r="G30" s="519"/>
      <c r="H30" s="519"/>
      <c r="I30" s="519"/>
      <c r="J30" s="519"/>
      <c r="K30" s="520"/>
      <c r="L30" s="521" t="str">
        <f>IF(KANYU="","",IF(L29&gt;IR_GND,L29-IR_GND,0))</f>
        <v/>
      </c>
      <c r="M30" s="521"/>
      <c r="N30" s="521"/>
      <c r="O30" s="521"/>
      <c r="P30" s="138" t="s">
        <v>181</v>
      </c>
      <c r="Q30" s="521" t="str">
        <f>IF(KANYU="","",IF(Q29&gt;SI_GND,Q29-SI_GND,0))</f>
        <v/>
      </c>
      <c r="R30" s="521"/>
      <c r="S30" s="521"/>
      <c r="T30" s="521"/>
      <c r="U30" s="138" t="s">
        <v>181</v>
      </c>
      <c r="V30" s="521" t="str">
        <f>IF(KANYU="","",IF(V29&gt;KG_GND,V29-KG_GND,0))</f>
        <v/>
      </c>
      <c r="W30" s="521"/>
      <c r="X30" s="521"/>
      <c r="Y30" s="521"/>
      <c r="Z30" s="138" t="s">
        <v>181</v>
      </c>
      <c r="AD30" s="513"/>
      <c r="AE30" s="513"/>
      <c r="AF30" s="513"/>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3"/>
      <c r="BC30" s="513"/>
      <c r="BV30" s="120" t="s">
        <v>195</v>
      </c>
      <c r="BW30" s="120" t="s">
        <v>185</v>
      </c>
      <c r="BX30" s="134">
        <v>0</v>
      </c>
      <c r="CA30" s="120"/>
      <c r="CB30" s="120"/>
      <c r="CC30" s="120"/>
    </row>
    <row r="31" spans="2:81" ht="19" customHeight="1">
      <c r="B31" s="519" t="s">
        <v>196</v>
      </c>
      <c r="C31" s="519"/>
      <c r="D31" s="519"/>
      <c r="E31" s="519"/>
      <c r="F31" s="519"/>
      <c r="G31" s="519"/>
      <c r="H31" s="519"/>
      <c r="I31" s="519"/>
      <c r="J31" s="519"/>
      <c r="K31" s="520"/>
      <c r="L31" s="521" t="str">
        <f>IF(KANYU="","",L29-L30)</f>
        <v/>
      </c>
      <c r="M31" s="521"/>
      <c r="N31" s="521"/>
      <c r="O31" s="521"/>
      <c r="P31" s="138" t="s">
        <v>181</v>
      </c>
      <c r="Q31" s="521" t="str">
        <f>IF(KANYU="","",Q29-Q30)</f>
        <v/>
      </c>
      <c r="R31" s="521"/>
      <c r="S31" s="521"/>
      <c r="T31" s="521"/>
      <c r="U31" s="138" t="s">
        <v>181</v>
      </c>
      <c r="V31" s="521" t="str">
        <f>IF(KANYU="","",V29-V30)</f>
        <v/>
      </c>
      <c r="W31" s="521"/>
      <c r="X31" s="521"/>
      <c r="Y31" s="521"/>
      <c r="Z31" s="138" t="s">
        <v>181</v>
      </c>
      <c r="AD31" s="513"/>
      <c r="AE31" s="513"/>
      <c r="AF31" s="513"/>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3"/>
      <c r="BC31" s="513"/>
      <c r="BW31" s="120" t="s">
        <v>187</v>
      </c>
      <c r="BX31" s="134">
        <v>0</v>
      </c>
      <c r="CA31" s="3" t="s">
        <v>197</v>
      </c>
      <c r="CB31" s="120"/>
      <c r="CC31" s="120"/>
    </row>
    <row r="32" spans="2:81" ht="19" customHeight="1">
      <c r="B32" s="519" t="s">
        <v>198</v>
      </c>
      <c r="C32" s="519"/>
      <c r="D32" s="519"/>
      <c r="E32" s="519"/>
      <c r="F32" s="519"/>
      <c r="G32" s="519"/>
      <c r="H32" s="519"/>
      <c r="I32" s="519"/>
      <c r="J32" s="519"/>
      <c r="K32" s="520"/>
      <c r="L32" s="521" t="str">
        <f>IF(KANYU&lt;&gt;"",TRUNC(L31/12*LEFT(KANYU,LEN(KANYU)-2),-2),"")</f>
        <v/>
      </c>
      <c r="M32" s="521"/>
      <c r="N32" s="521"/>
      <c r="O32" s="521"/>
      <c r="P32" s="138" t="s">
        <v>181</v>
      </c>
      <c r="Q32" s="521" t="str">
        <f>IF(KANYU&lt;&gt;"",TRUNC(Q31/12*LEFT(KANYU,LEN(KANYU)-2),-2),"")</f>
        <v/>
      </c>
      <c r="R32" s="521"/>
      <c r="S32" s="521"/>
      <c r="T32" s="521"/>
      <c r="U32" s="138" t="s">
        <v>181</v>
      </c>
      <c r="V32" s="521" t="str">
        <f>IF(KANYU&lt;&gt;"",TRUNC(V31/12*LEFT(KANYU,LEN(KANYU)-2),-2),"")</f>
        <v/>
      </c>
      <c r="W32" s="521"/>
      <c r="X32" s="521"/>
      <c r="Y32" s="521"/>
      <c r="Z32" s="138" t="s">
        <v>181</v>
      </c>
      <c r="AD32" s="513"/>
      <c r="AE32" s="513"/>
      <c r="AF32" s="513"/>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3"/>
      <c r="BC32" s="513"/>
      <c r="BW32" s="120" t="s">
        <v>189</v>
      </c>
      <c r="BX32" s="134">
        <v>0</v>
      </c>
      <c r="CA32" s="129">
        <v>0</v>
      </c>
      <c r="CB32" s="129"/>
      <c r="CC32" s="129">
        <v>430000</v>
      </c>
    </row>
    <row r="33" spans="2:81" ht="19" customHeight="1">
      <c r="AD33" s="513"/>
      <c r="AE33" s="513"/>
      <c r="AF33" s="513"/>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c r="BV33" s="120" t="s">
        <v>199</v>
      </c>
      <c r="BW33" s="120" t="s">
        <v>185</v>
      </c>
      <c r="BX33" s="139">
        <v>630000</v>
      </c>
      <c r="CA33" s="129">
        <v>24000001</v>
      </c>
      <c r="CB33" s="129"/>
      <c r="CC33" s="129">
        <v>290000</v>
      </c>
    </row>
    <row r="34" spans="2:81" ht="19" customHeight="1">
      <c r="B34" s="140" t="str">
        <f>GND</f>
        <v>賦課限度額は、医療分：63万円 支援分：19万円 介護分：17万円 です。</v>
      </c>
      <c r="AD34" s="513"/>
      <c r="AE34" s="513"/>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3"/>
      <c r="BC34" s="513"/>
      <c r="BW34" s="120" t="s">
        <v>187</v>
      </c>
      <c r="BX34" s="139">
        <v>190000</v>
      </c>
      <c r="CA34" s="129">
        <v>24500001</v>
      </c>
      <c r="CB34" s="129"/>
      <c r="CC34" s="129">
        <v>150000</v>
      </c>
    </row>
    <row r="35" spans="2:81" ht="19" customHeight="1">
      <c r="AD35" s="513"/>
      <c r="AE35" s="513"/>
      <c r="AF35" s="513"/>
      <c r="AG35" s="513"/>
      <c r="AH35" s="513"/>
      <c r="AI35" s="513"/>
      <c r="AJ35" s="513"/>
      <c r="AK35" s="513"/>
      <c r="AL35" s="513"/>
      <c r="AM35" s="513"/>
      <c r="AN35" s="513"/>
      <c r="AO35" s="513"/>
      <c r="AP35" s="513"/>
      <c r="AQ35" s="513"/>
      <c r="AR35" s="513"/>
      <c r="AS35" s="513"/>
      <c r="AT35" s="513"/>
      <c r="AU35" s="513"/>
      <c r="AV35" s="513"/>
      <c r="AW35" s="513"/>
      <c r="AX35" s="513"/>
      <c r="AY35" s="513"/>
      <c r="AZ35" s="513"/>
      <c r="BA35" s="513"/>
      <c r="BB35" s="513"/>
      <c r="BC35" s="513"/>
      <c r="BW35" s="120" t="s">
        <v>189</v>
      </c>
      <c r="BX35" s="139">
        <v>170000</v>
      </c>
      <c r="CA35" s="129">
        <v>25000001</v>
      </c>
      <c r="CB35" s="129"/>
      <c r="CC35" s="129">
        <v>0</v>
      </c>
    </row>
    <row r="36" spans="2:81" ht="19" customHeight="1">
      <c r="B36" s="1" t="s">
        <v>200</v>
      </c>
      <c r="AD36" s="513"/>
      <c r="AE36" s="513"/>
      <c r="AF36" s="513"/>
      <c r="AG36" s="513"/>
      <c r="AH36" s="513"/>
      <c r="AI36" s="513"/>
      <c r="AJ36" s="513"/>
      <c r="AK36" s="513"/>
      <c r="AL36" s="513"/>
      <c r="AM36" s="513"/>
      <c r="AN36" s="513"/>
      <c r="AO36" s="513"/>
      <c r="AP36" s="513"/>
      <c r="AQ36" s="513"/>
      <c r="AR36" s="513"/>
      <c r="AS36" s="513"/>
      <c r="AT36" s="513"/>
      <c r="AU36" s="513"/>
      <c r="AV36" s="513"/>
      <c r="AW36" s="513"/>
      <c r="AX36" s="513"/>
      <c r="AY36" s="513"/>
      <c r="AZ36" s="513"/>
      <c r="BA36" s="513"/>
      <c r="BB36" s="513"/>
      <c r="BC36" s="513"/>
      <c r="BX36" s="141" t="str">
        <f>"賦課限度額は、医療分："&amp;IR_GND/10000&amp;"万円 支援分："&amp;SI_GND/10000&amp;"万円 介護分："&amp;KG_GND/10000&amp;"万円 です。"</f>
        <v>賦課限度額は、医療分：63万円 支援分：19万円 介護分：17万円 です。</v>
      </c>
    </row>
    <row r="37" spans="2:81" ht="19" customHeight="1">
      <c r="AD37" s="513"/>
      <c r="AE37" s="513"/>
      <c r="AF37" s="513"/>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3"/>
      <c r="BC37" s="513"/>
    </row>
  </sheetData>
  <sheetProtection selectLockedCells="1"/>
  <mergeCells count="124">
    <mergeCell ref="Q32:T32"/>
    <mergeCell ref="V32:Y32"/>
    <mergeCell ref="B30:K30"/>
    <mergeCell ref="L30:O30"/>
    <mergeCell ref="Q30:T30"/>
    <mergeCell ref="V30:Y30"/>
    <mergeCell ref="B31:K31"/>
    <mergeCell ref="L31:O31"/>
    <mergeCell ref="Q31:T31"/>
    <mergeCell ref="V31:Y31"/>
    <mergeCell ref="AW15:BB15"/>
    <mergeCell ref="B21:Q21"/>
    <mergeCell ref="R21:W21"/>
    <mergeCell ref="AD21:BC37"/>
    <mergeCell ref="B23:Q23"/>
    <mergeCell ref="R23:W23"/>
    <mergeCell ref="B28:K28"/>
    <mergeCell ref="L28:O28"/>
    <mergeCell ref="Q28:T28"/>
    <mergeCell ref="V28:Y28"/>
    <mergeCell ref="B29:K29"/>
    <mergeCell ref="L29:O29"/>
    <mergeCell ref="Q29:T29"/>
    <mergeCell ref="V29:Y29"/>
    <mergeCell ref="B26:K26"/>
    <mergeCell ref="L26:P26"/>
    <mergeCell ref="Q26:U26"/>
    <mergeCell ref="V26:Z26"/>
    <mergeCell ref="B27:K27"/>
    <mergeCell ref="L27:O27"/>
    <mergeCell ref="Q27:T27"/>
    <mergeCell ref="V27:Y27"/>
    <mergeCell ref="B32:K32"/>
    <mergeCell ref="L32:O32"/>
    <mergeCell ref="B15:H15"/>
    <mergeCell ref="I15:N15"/>
    <mergeCell ref="O15:T15"/>
    <mergeCell ref="U15:Z15"/>
    <mergeCell ref="AA15:AB15"/>
    <mergeCell ref="AC15:AD15"/>
    <mergeCell ref="AE15:AJ15"/>
    <mergeCell ref="AK15:AP15"/>
    <mergeCell ref="AQ15:AV15"/>
    <mergeCell ref="AW13:BB13"/>
    <mergeCell ref="B14:H14"/>
    <mergeCell ref="I14:N14"/>
    <mergeCell ref="O14:T14"/>
    <mergeCell ref="U14:Z14"/>
    <mergeCell ref="AA14:AB14"/>
    <mergeCell ref="AC14:AD14"/>
    <mergeCell ref="AE14:AJ14"/>
    <mergeCell ref="AK14:AP14"/>
    <mergeCell ref="AQ14:AV14"/>
    <mergeCell ref="AW14:BB14"/>
    <mergeCell ref="B13:H13"/>
    <mergeCell ref="I13:N13"/>
    <mergeCell ref="O13:T13"/>
    <mergeCell ref="U13:Z13"/>
    <mergeCell ref="AA13:AB13"/>
    <mergeCell ref="AC13:AD13"/>
    <mergeCell ref="AE13:AJ13"/>
    <mergeCell ref="AK13:AP13"/>
    <mergeCell ref="AQ13:AV13"/>
    <mergeCell ref="AW11:BB11"/>
    <mergeCell ref="B12:H12"/>
    <mergeCell ref="I12:N12"/>
    <mergeCell ref="O12:T12"/>
    <mergeCell ref="U12:Z12"/>
    <mergeCell ref="AA12:AB12"/>
    <mergeCell ref="AC12:AD12"/>
    <mergeCell ref="AE12:AJ12"/>
    <mergeCell ref="AK12:AP12"/>
    <mergeCell ref="AQ12:AV12"/>
    <mergeCell ref="AW12:BB12"/>
    <mergeCell ref="B11:H11"/>
    <mergeCell ref="I11:N11"/>
    <mergeCell ref="O11:T11"/>
    <mergeCell ref="U11:Z11"/>
    <mergeCell ref="AA11:AB11"/>
    <mergeCell ref="AC11:AD11"/>
    <mergeCell ref="AE11:AJ11"/>
    <mergeCell ref="AK11:AP11"/>
    <mergeCell ref="AQ11:AV11"/>
    <mergeCell ref="AW9:BB9"/>
    <mergeCell ref="B10:H10"/>
    <mergeCell ref="I10:N10"/>
    <mergeCell ref="O10:T10"/>
    <mergeCell ref="U10:Z10"/>
    <mergeCell ref="AA10:AB10"/>
    <mergeCell ref="AC10:AD10"/>
    <mergeCell ref="AE10:AJ10"/>
    <mergeCell ref="AK10:AP10"/>
    <mergeCell ref="AQ10:AV10"/>
    <mergeCell ref="AW10:BB10"/>
    <mergeCell ref="B9:H9"/>
    <mergeCell ref="I9:N9"/>
    <mergeCell ref="O9:T9"/>
    <mergeCell ref="U9:Z9"/>
    <mergeCell ref="AA9:AB9"/>
    <mergeCell ref="AC9:AD9"/>
    <mergeCell ref="AE9:AJ9"/>
    <mergeCell ref="AK9:AP9"/>
    <mergeCell ref="AQ9:AV9"/>
    <mergeCell ref="AQ7:AV7"/>
    <mergeCell ref="AW7:BB7"/>
    <mergeCell ref="B8:H8"/>
    <mergeCell ref="I8:N8"/>
    <mergeCell ref="O8:T8"/>
    <mergeCell ref="U8:Z8"/>
    <mergeCell ref="AA8:AB8"/>
    <mergeCell ref="AC8:AD8"/>
    <mergeCell ref="AE8:AJ8"/>
    <mergeCell ref="AK8:AP8"/>
    <mergeCell ref="AQ8:AV8"/>
    <mergeCell ref="AW8:BB8"/>
    <mergeCell ref="B4:H4"/>
    <mergeCell ref="B7:H7"/>
    <mergeCell ref="I7:N7"/>
    <mergeCell ref="O7:T7"/>
    <mergeCell ref="U7:Z7"/>
    <mergeCell ref="AA7:AB7"/>
    <mergeCell ref="AC7:AD7"/>
    <mergeCell ref="AE7:AJ7"/>
    <mergeCell ref="AK7:AP7"/>
  </mergeCells>
  <phoneticPr fontId="1"/>
  <dataValidations count="6">
    <dataValidation type="list" allowBlank="1" showInputMessage="1" showErrorMessage="1" error="選択してください。" sqref="AA8:AD15" xr:uid="{D70E0E37-4BE8-B442-8185-0F11BD22233A}">
      <formula1>"●"</formula1>
    </dataValidation>
    <dataValidation type="whole" allowBlank="1" showInputMessage="1" showErrorMessage="1" error="整数を入力してください。_x000a_マイナスの場合は、0を入力してください。" sqref="U8:Z15" xr:uid="{27E20F19-FD13-5641-8009-61F18856B134}">
      <formula1>-9999999</formula1>
      <formula2>99999999</formula2>
    </dataValidation>
    <dataValidation allowBlank="1" showInputMessage="1" showErrorMessage="1" error="整数を入力してください。_x000a_マイナスの場合は、0を入力してください。" sqref="AE8:BB15" xr:uid="{F05FCD4C-0B19-F247-B2DD-F3407CB22436}"/>
    <dataValidation type="list" allowBlank="1" showInputMessage="1" showErrorMessage="1" error="加入期間を選択してください。" sqref="B4 F5:I5" xr:uid="{3E713578-2129-1642-9C49-E872B83A0B4A}">
      <formula1>$BX$5:$BX$17</formula1>
    </dataValidation>
    <dataValidation type="list" allowBlank="1" showInputMessage="1" showErrorMessage="1" error="年齢区分を選択してください。" sqref="B8:H15" xr:uid="{66B05DF7-C721-BF4F-9B11-281F74E892B2}">
      <formula1>$BX$1:$BX$4</formula1>
    </dataValidation>
    <dataValidation type="whole" allowBlank="1" showInputMessage="1" showErrorMessage="1" error="整数を入力してください。_x000a_マイナスの場合は、0を入力してください。" sqref="I8:T15 AI18:BA20" xr:uid="{3E58E1B1-3EA5-1944-BDC1-47FC41FFC2C3}">
      <formula1>0</formula1>
      <formula2>99999999</formula2>
    </dataValidation>
  </dataValidations>
  <pageMargins left="0.70866141732283472"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85</vt:i4>
      </vt:variant>
    </vt:vector>
  </HeadingPairs>
  <TitlesOfParts>
    <vt:vector size="88" baseType="lpstr">
      <vt:lpstr>試算表</vt:lpstr>
      <vt:lpstr>さいたま市</vt:lpstr>
      <vt:lpstr>武蔵野市</vt:lpstr>
      <vt:lpstr>AGE_0</vt:lpstr>
      <vt:lpstr>AGE_1</vt:lpstr>
      <vt:lpstr>AGE_2</vt:lpstr>
      <vt:lpstr>AGE_3</vt:lpstr>
      <vt:lpstr>GND</vt:lpstr>
      <vt:lpstr>IR_BYO</vt:lpstr>
      <vt:lpstr>IR_GND</vt:lpstr>
      <vt:lpstr>IR_KIN</vt:lpstr>
      <vt:lpstr>IR_SAN</vt:lpstr>
      <vt:lpstr>IR_SYT</vt:lpstr>
      <vt:lpstr>KANYU</vt:lpstr>
      <vt:lpstr>KG_BYO</vt:lpstr>
      <vt:lpstr>KG_GND</vt:lpstr>
      <vt:lpstr>KG_KIN</vt:lpstr>
      <vt:lpstr>KG_SAN</vt:lpstr>
      <vt:lpstr>KG_SYT</vt:lpstr>
      <vt:lpstr>KGN</vt:lpstr>
      <vt:lpstr>KISO_0</vt:lpstr>
      <vt:lpstr>KISO_1</vt:lpstr>
      <vt:lpstr>KISO_2</vt:lpstr>
      <vt:lpstr>KISO_3</vt:lpstr>
      <vt:lpstr>KJ_0</vt:lpstr>
      <vt:lpstr>KJ_1</vt:lpstr>
      <vt:lpstr>KJ_10</vt:lpstr>
      <vt:lpstr>KJ_2</vt:lpstr>
      <vt:lpstr>KJ_3</vt:lpstr>
      <vt:lpstr>KJ_4</vt:lpstr>
      <vt:lpstr>KJ_5</vt:lpstr>
      <vt:lpstr>KJ_6</vt:lpstr>
      <vt:lpstr>KJ_7</vt:lpstr>
      <vt:lpstr>KJ_8</vt:lpstr>
      <vt:lpstr>KJ_9</vt:lpstr>
      <vt:lpstr>KR_6</vt:lpstr>
      <vt:lpstr>KR_7</vt:lpstr>
      <vt:lpstr>KR_8</vt:lpstr>
      <vt:lpstr>KR_9</vt:lpstr>
      <vt:lpstr>KS_0</vt:lpstr>
      <vt:lpstr>KS_1</vt:lpstr>
      <vt:lpstr>KS_10</vt:lpstr>
      <vt:lpstr>KS_2</vt:lpstr>
      <vt:lpstr>KS_3</vt:lpstr>
      <vt:lpstr>KS_4</vt:lpstr>
      <vt:lpstr>KS_5</vt:lpstr>
      <vt:lpstr>KS_6</vt:lpstr>
      <vt:lpstr>KS_7</vt:lpstr>
      <vt:lpstr>KS_8</vt:lpstr>
      <vt:lpstr>KS_9</vt:lpstr>
      <vt:lpstr>KS_KJ_0</vt:lpstr>
      <vt:lpstr>KS_KJ_1</vt:lpstr>
      <vt:lpstr>KS_KJ_2</vt:lpstr>
      <vt:lpstr>KS_KJ_3</vt:lpstr>
      <vt:lpstr>NK_64_0</vt:lpstr>
      <vt:lpstr>NK_64_1</vt:lpstr>
      <vt:lpstr>NK_64_2</vt:lpstr>
      <vt:lpstr>NK_64_3</vt:lpstr>
      <vt:lpstr>NK_64_4</vt:lpstr>
      <vt:lpstr>NK_65_0</vt:lpstr>
      <vt:lpstr>NK_65_1</vt:lpstr>
      <vt:lpstr>NK_65_2</vt:lpstr>
      <vt:lpstr>NK_65_3</vt:lpstr>
      <vt:lpstr>NK_65_4</vt:lpstr>
      <vt:lpstr>NR_64_1</vt:lpstr>
      <vt:lpstr>NR_64_2</vt:lpstr>
      <vt:lpstr>NR_64_3</vt:lpstr>
      <vt:lpstr>NR_65_1</vt:lpstr>
      <vt:lpstr>NR_65_2</vt:lpstr>
      <vt:lpstr>NR_65_3</vt:lpstr>
      <vt:lpstr>NS_64_0</vt:lpstr>
      <vt:lpstr>NS_64_1</vt:lpstr>
      <vt:lpstr>NS_64_2</vt:lpstr>
      <vt:lpstr>NS_64_3</vt:lpstr>
      <vt:lpstr>NS_64_4</vt:lpstr>
      <vt:lpstr>NS_65_0</vt:lpstr>
      <vt:lpstr>NS_65_1</vt:lpstr>
      <vt:lpstr>NS_65_2</vt:lpstr>
      <vt:lpstr>NS_65_3</vt:lpstr>
      <vt:lpstr>NS_65_4</vt:lpstr>
      <vt:lpstr>さいたま市!Print_Area</vt:lpstr>
      <vt:lpstr>試算表!Print_Area</vt:lpstr>
      <vt:lpstr>武蔵野市!Print_Area</vt:lpstr>
      <vt:lpstr>SI_BYO</vt:lpstr>
      <vt:lpstr>SI_GND</vt:lpstr>
      <vt:lpstr>SI_KIN</vt:lpstr>
      <vt:lpstr>SI_SAN</vt:lpstr>
      <vt:lpstr>SI_SYT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2026-04-17T05:17:59Z</dcterms:modified>
</cp:coreProperties>
</file>